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10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tro" state="visible" r:id="rId4"/>
    <sheet sheetId="6" name="Pilotage" state="visible" r:id="rId5"/>
    <sheet sheetId="2" name="Hypothèses" state="visible" r:id="rId6"/>
    <sheet sheetId="3" name="Compte de résultat" state="visible" r:id="rId7"/>
    <sheet sheetId="4" name="Trésorerie" state="visible" r:id="rId8"/>
    <sheet sheetId="5" name="Indicateurs" state="visible" r:id="rId9"/>
  </sheets>
  <calcPr calcId="171027" fullCalcOnLoad="1"/>
</workbook>
</file>

<file path=xl/sharedStrings.xml><?xml version="1.0" encoding="utf-8"?>
<sst xmlns="http://schemas.openxmlformats.org/spreadsheetml/2006/main" count="166" uniqueCount="114">
  <si>
    <t>Jeune société - SaaS &amp; Services</t>
  </si>
  <si>
    <t>2026 - 2028</t>
  </si>
  <si>
    <t>Pilotage</t>
  </si>
  <si>
    <t>&gt;</t>
  </si>
  <si>
    <t>Hypothèses</t>
  </si>
  <si>
    <t>Compte de résultat</t>
  </si>
  <si>
    <t>Trésorerie</t>
  </si>
  <si>
    <t>Indicateurs</t>
  </si>
  <si>
    <t>Legend</t>
  </si>
  <si>
    <t>Assumptions</t>
  </si>
  <si>
    <t>Imported values</t>
  </si>
  <si>
    <t>Sources</t>
  </si>
  <si>
    <t>No external sources</t>
  </si>
  <si>
    <r>
      <rPr>
        <color rgb="FF808080"/>
        <sz val="9"/>
        <rFont val="Arial"/>
      </rPr>
      <t xml:space="preserve">Generated by </t>
    </r>
    <r>
      <rPr>
        <b/>
        <color rgb="FF000000"/>
        <sz val="9"/>
        <rFont val="Arial"/>
      </rPr>
      <t>Layer</t>
    </r>
    <r>
      <rPr>
        <b/>
        <color rgb="FFC8A74D"/>
        <sz val="9"/>
        <rFont val="Arial"/>
      </rPr>
      <t>Z</t>
    </r>
    <r>
      <rPr>
        <color rgb="FF808080"/>
        <sz val="9"/>
        <rFont val="Arial"/>
      </rPr>
      <t xml:space="preserve"> ©</t>
    </r>
  </si>
  <si>
    <t>September 9, 2026</t>
  </si>
  <si>
    <t>Label</t>
  </si>
  <si>
    <t>2026</t>
  </si>
  <si>
    <t>2027</t>
  </si>
  <si>
    <t>2028</t>
  </si>
  <si>
    <t>Abonnements</t>
  </si>
  <si>
    <t>Chiffre d'affaires 2026</t>
  </si>
  <si>
    <t>EBITDA 2026</t>
  </si>
  <si>
    <t>Marge d'EBITDA 2026</t>
  </si>
  <si>
    <t>Trésorerie au 31 décembre 2026</t>
  </si>
  <si>
    <t>Prestations de projet</t>
  </si>
  <si>
    <t>EBITDA</t>
  </si>
  <si>
    <t>Trésorerie de clôture</t>
  </si>
  <si>
    <t>2026-12</t>
  </si>
  <si>
    <t>€</t>
  </si>
  <si>
    <t>CAGR</t>
  </si>
  <si>
    <t>Chiffre d'affaires annuel</t>
  </si>
  <si>
    <t>EBITDA annuel</t>
  </si>
  <si>
    <t>Marge d'EBITDA annuelle</t>
  </si>
  <si>
    <t>Résultat net annuel</t>
  </si>
  <si>
    <t/>
  </si>
  <si>
    <t>Notes</t>
  </si>
  <si>
    <t>yearly index</t>
  </si>
  <si>
    <t>REVENUS RÉCURRENTS</t>
  </si>
  <si>
    <t>MRR de base</t>
  </si>
  <si>
    <t>Revenu récurrent mensuel du portefeuille d'abonnements, hors indexation. C'est la ligne qu'on édite quand le plan d'acquisition change.</t>
  </si>
  <si>
    <t>Indexation tarifaire</t>
  </si>
  <si>
    <t>Hausse de prix appliquée au MRR de base. À 0 % par défaut. Pour tester une hausse tarifaire, saisir le pourcentage à partir du mois d'application : une seule ligne, tout le modèle suit.</t>
  </si>
  <si>
    <t>REVENUS DE PROJET</t>
  </si>
  <si>
    <t>Jours facturés</t>
  </si>
  <si>
    <t>Jours de prestation facturés dans le mois. Juillet et août marquent le creux d'été : c'est ce qui fait plonger l'EBITDA du troisième trimestre.</t>
  </si>
  <si>
    <t>Taux journalier moyen</t>
  </si>
  <si>
    <t>Prix de vente moyen d'une journée. Indexé d'environ 5 % par an.</t>
  </si>
  <si>
    <t>Produits accessoires</t>
  </si>
  <si>
    <t>Refacturation de frais de mission. C'est du chiffre d'affaires, mais ce n'est pas de la prestation : présenté à part.</t>
  </si>
  <si>
    <t>ÉQUIPE</t>
  </si>
  <si>
    <t>Effectif</t>
  </si>
  <si>
    <t>Nombre de personnes payées dans le mois. Pour tester une embauche, ajouter 1 à partir du mois d'arrivée : la masse salariale, l'EBITDA et la trésorerie suivent.</t>
  </si>
  <si>
    <t>Coût employeur moyen chargé</t>
  </si>
  <si>
    <t>Coût mensuel complet d'une personne : salaire brut plus charges patronales.</t>
  </si>
  <si>
    <t>STRUCTURE DE COÛTS</t>
  </si>
  <si>
    <t>Sous-traitance en % des projets</t>
  </si>
  <si>
    <t>Part de la production confiée à des freelances. C'est un coût direct : il varie avec les jours facturés, pas avec la structure.</t>
  </si>
  <si>
    <t>Charges externes de structure</t>
  </si>
  <si>
    <t>Loyers, logiciels, honoraires, communication, déplacements, télécoms, assurances. Charges de structure : elles ne suivent pas l'activité.</t>
  </si>
  <si>
    <t>Taxes d'exploitation mensuelles</t>
  </si>
  <si>
    <t>CFE, taxe d'apprentissage, formation. Au-dessus de l'EBITDA, ce n'est pas l'impôt sur les sociétés.</t>
  </si>
  <si>
    <t>FINANCEMENT ET FISCALITÉ</t>
  </si>
  <si>
    <t>Amortissement mensuel</t>
  </si>
  <si>
    <t>Montant mensuel. Amortissement linéaire du matériel et des aménagements.</t>
  </si>
  <si>
    <t>Subventions d'exploitation</t>
  </si>
  <si>
    <t>Toujours présentées SOUS l'EBITDA : une subvention n'est pas de la performance opérationnelle.</t>
  </si>
  <si>
    <t>Charge d'intérêts mensuelle</t>
  </si>
  <si>
    <t>Intérêts du prêt en cours d'amortissement. Décroissants : le capital se rembourse.</t>
  </si>
  <si>
    <t>Taux d'impôt sur les sociétés</t>
  </si>
  <si>
    <t>ENCAISSEMENT ET DÉCAISSEMENT</t>
  </si>
  <si>
    <t>Taux de TVA</t>
  </si>
  <si>
    <t>Clients réglant à 30 jours</t>
  </si>
  <si>
    <t>Part du chiffre d'affaires encaissée le mois suivant la facturation. Le solde tombe le mois d'après.</t>
  </si>
  <si>
    <t>Remboursement du capital emprunté</t>
  </si>
  <si>
    <t>Sortie de trésorerie uniquement : le capital ne passe pas par le compte de résultat.</t>
  </si>
  <si>
    <t>Acomptes d'impôt versés</t>
  </si>
  <si>
    <t>Acomptes d'IS réellement décaissés dans le mois, indépendants de la charge d'impôt du compte de résultat.</t>
  </si>
  <si>
    <t>Encaissement des créances d'ouverture</t>
  </si>
  <si>
    <t>Factures émises avant le début du plan et encaissées dans les deux premiers mois. Sans elles, la trésorerie de janvier serait fausse.</t>
  </si>
  <si>
    <t>Décaissement des dettes d'ouverture</t>
  </si>
  <si>
    <t>Fournisseurs et TVA du dernier mois de l'exercice précédent, payés en janvier.</t>
  </si>
  <si>
    <t>Le récurrent. Il tient même quand les projets s'arrêtent.</t>
  </si>
  <si>
    <t>Le ponctuel. Il s'arrête en août et repart en septembre.</t>
  </si>
  <si>
    <t>Chiffre d'affaires</t>
  </si>
  <si>
    <t>Sous-traitance</t>
  </si>
  <si>
    <t>Autres charges externes</t>
  </si>
  <si>
    <t>Masse salariale</t>
  </si>
  <si>
    <t>Impôts et taxes</t>
  </si>
  <si>
    <t>Résultat d'exploitation avant amortissements. La ligne que regardent un investisseur, un banquier et vous.</t>
  </si>
  <si>
    <t>Marge d'EBITDA</t>
  </si>
  <si>
    <t>Dotations aux amortissements</t>
  </si>
  <si>
    <t>Résultat d'exploitation</t>
  </si>
  <si>
    <t>Intérêts d'emprunt</t>
  </si>
  <si>
    <t>Résultat courant avant impôt</t>
  </si>
  <si>
    <t>Impôt sur les sociétés</t>
  </si>
  <si>
    <t>Résultat net</t>
  </si>
  <si>
    <t>Encaissements clients</t>
  </si>
  <si>
    <t>Le chiffre d'affaires n'est pas l'encaissement : 60 % tombe le mois suivant, 40 % le mois d'après, TVA comprise.</t>
  </si>
  <si>
    <t>Décaissements fournisseurs</t>
  </si>
  <si>
    <t>Salaires et charges sociales</t>
  </si>
  <si>
    <t>TVA nette versée</t>
  </si>
  <si>
    <t>Taxes d'exploitation</t>
  </si>
  <si>
    <t>Échéances d'emprunt</t>
  </si>
  <si>
    <t>Acomptes d'impôt décaissés</t>
  </si>
  <si>
    <t>Variation de trésorerie</t>
  </si>
  <si>
    <t>Solde du compte à la fin du mois. C'est la seule ligne du modèle qui ne se discute pas.</t>
  </si>
  <si>
    <t>CALCULATIONS</t>
  </si>
  <si>
    <t>Trésorerie de clôture - BOP</t>
  </si>
  <si>
    <t>Trésorerie de clôture - EOP</t>
  </si>
  <si>
    <t>Part du récurrent</t>
  </si>
  <si>
    <t>La part du chiffre d'affaires qui revient sans qu'on la revende. Le seul chiffre qui dit si la boîte tient un mois creux.</t>
  </si>
  <si>
    <t>Croissance du chiffre d'affaires</t>
  </si>
  <si>
    <t>Comparaison au même mois de l'année précédente : la saisonnalité ne fausse pas la lecture.</t>
  </si>
  <si>
    <t>Chiffre d'affaires par personne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</si>
</sst>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&quot; €&quot;;(#,##0&quot; €&quot;);-"/>
    <numFmt numFmtId="165" formatCode="+0%;-0%;0%"/>
    <numFmt numFmtId="166" formatCode="yyyy"/>
    <numFmt numFmtId="167" formatCode="#,##0;(#,##0);-"/>
  </numFmts>
  <fonts count="23" x14ac:knownFonts="1">
    <font>
      <color theme="1"/>
      <family val="2"/>
      <scheme val="minor"/>
      <sz val="11"/>
      <name val="Calibri"/>
    </font>
    <font>
      <b/>
      <color rgb="FF000000"/>
      <sz val="20"/>
      <name val="Franklin Gothic Medium"/>
    </font>
    <font>
      <color rgb="FF808080"/>
      <sz val="11"/>
      <name val="Arial"/>
    </font>
    <font>
      <color rgb="FF000000"/>
      <sz val="11"/>
      <name val="Arial"/>
    </font>
    <font>
      <b/>
      <color rgb="FF000000"/>
      <sz val="9"/>
      <name val="Arial"/>
    </font>
    <font>
      <color rgb="FF0000FF"/>
      <sz val="9"/>
      <name val="Arial"/>
    </font>
    <font>
      <color rgb="FF374151"/>
      <sz val="9"/>
      <name val="Arial"/>
    </font>
    <font>
      <i/>
      <color rgb="FF000000"/>
      <sz val="9"/>
      <name val="Arial"/>
    </font>
    <font>
      <color rgb="FF808080"/>
      <sz val="9"/>
      <name val="Arial"/>
    </font>
    <font>
      <b/>
      <color rgb="FF111827"/>
      <sz val="18"/>
    </font>
    <font>
      <color rgb="FF6B7280"/>
      <sz val="10"/>
    </font>
    <font>
      <b/>
      <sz val="20"/>
    </font>
    <font>
      <color rgb="FF9CA3AF"/>
      <sz val="9"/>
    </font>
    <font>
      <b/>
      <color rgb="FFFFFFFF"/>
    </font>
    <font>
      <color rgb="FFFFFFFF"/>
    </font>
    <font>
      <i/>
      <color rgb="FFFFFFFF"/>
    </font>
    <font>
      <color rgb="FF6B7280"/>
    </font>
    <font>
      <i/>
      <color rgb="FF15803D"/>
    </font>
    <font>
      <b/>
    </font>
    <font>
      <b/>
      <i/>
      <color rgb="FFFFFFFF"/>
    </font>
    <font>
      <i/>
      <color rgb="FF808080"/>
    </font>
    <font>
      <color rgb="FF0000FF"/>
    </font>
    <font>
      <color rgb="FFD1D5DB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9FAFB"/>
      </patternFill>
    </fill>
    <fill>
      <patternFill patternType="solid">
        <fgColor rgb="FF000000"/>
      </patternFill>
    </fill>
    <fill>
      <patternFill patternType="solid">
        <fgColor rgb="FFDBEAFE"/>
      </patternFill>
    </fill>
  </fills>
  <borders count="27">
    <border>
      <left/>
      <right/>
      <top/>
      <bottom/>
      <diagonal/>
    </border>
    <border>
      <left style="thin">
        <color rgb="FFC8A74D"/>
      </left>
      <right/>
      <top style="thin">
        <color rgb="FFC8A74D"/>
      </top>
      <bottom/>
      <diagonal/>
    </border>
    <border>
      <left/>
      <right/>
      <top style="thin">
        <color rgb="FFC8A74D"/>
      </top>
      <bottom/>
      <diagonal/>
    </border>
    <border>
      <left/>
      <right style="thin">
        <color rgb="FFC8A74D"/>
      </right>
      <top style="thin">
        <color rgb="FFC8A74D"/>
      </top>
      <bottom/>
      <diagonal/>
    </border>
    <border>
      <left style="thin">
        <color rgb="FFC8A74D"/>
      </left>
      <right/>
      <top/>
      <bottom/>
      <diagonal/>
    </border>
    <border>
      <left/>
      <right style="thin">
        <color rgb="FFC8A74D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dashed">
        <color rgb="FFBFBFBF"/>
      </bottom>
      <diagonal/>
    </border>
    <border>
      <left/>
      <right/>
      <top style="dashed">
        <color rgb="FFBFBFBF"/>
      </top>
      <bottom style="dashed">
        <color rgb="FFBFBFBF"/>
      </bottom>
      <diagonal/>
    </border>
    <border>
      <left/>
      <right/>
      <top style="dashed">
        <color rgb="FFBFBFBF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8A74D"/>
      </left>
      <right/>
      <top/>
      <bottom style="thin">
        <color rgb="FFC8A74D"/>
      </bottom>
      <diagonal/>
    </border>
    <border>
      <left/>
      <right/>
      <top/>
      <bottom style="thin">
        <color rgb="FFC8A74D"/>
      </bottom>
      <diagonal/>
    </border>
    <border>
      <left/>
      <right style="thin">
        <color rgb="FFC8A74D"/>
      </right>
      <top/>
      <bottom style="thin">
        <color rgb="FFC8A74D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/>
      <diagonal/>
    </border>
    <border>
      <left style="thin">
        <color rgb="FFE5E7EB"/>
      </left>
      <right style="thin">
        <color rgb="FFE5E7EB"/>
      </right>
      <top/>
      <bottom/>
      <diagonal/>
    </border>
    <border>
      <left style="thin">
        <color rgb="FFE5E7EB"/>
      </left>
      <right style="thin">
        <color rgb="FFE5E7EB"/>
      </right>
      <top/>
      <bottom style="thin">
        <color rgb="FFE5E7EB"/>
      </bottom>
      <diagonal/>
    </border>
    <border>
      <left style="thin">
        <color rgb="FFE5E7EB"/>
      </left>
      <right/>
      <top style="thin">
        <color rgb="FFE5E7EB"/>
      </top>
      <bottom/>
      <diagonal/>
    </border>
    <border>
      <left/>
      <right/>
      <top style="thin">
        <color rgb="FFE5E7EB"/>
      </top>
      <bottom/>
      <diagonal/>
    </border>
    <border>
      <left/>
      <right style="thin">
        <color rgb="FFE5E7EB"/>
      </right>
      <top style="thin">
        <color rgb="FFE5E7EB"/>
      </top>
      <bottom/>
      <diagonal/>
    </border>
    <border>
      <left style="thin">
        <color rgb="FFE5E7EB"/>
      </left>
      <right/>
      <top/>
      <bottom/>
      <diagonal/>
    </border>
    <border>
      <left/>
      <right style="thin">
        <color rgb="FFE5E7EB"/>
      </right>
      <top/>
      <bottom/>
      <diagonal/>
    </border>
    <border>
      <left style="thin">
        <color rgb="FFE5E7EB"/>
      </left>
      <right/>
      <top/>
      <bottom style="thin">
        <color rgb="FFE5E7EB"/>
      </bottom>
      <diagonal/>
    </border>
    <border>
      <left/>
      <right/>
      <top/>
      <bottom style="thin">
        <color rgb="FFE5E7EB"/>
      </bottom>
      <diagonal/>
    </border>
    <border>
      <left/>
      <right style="thin">
        <color rgb="FFE5E7EB"/>
      </right>
      <top/>
      <bottom style="thin">
        <color rgb="FFE5E7E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2" borderId="5" xfId="0" applyFill="1" applyBorder="1"/>
    <xf numFmtId="0" fontId="2" fillId="2" borderId="0" xfId="0" applyFont="1" applyFill="1" applyAlignment="1">
      <alignment vertical="center"/>
    </xf>
    <xf numFmtId="0" fontId="0" fillId="2" borderId="6" xfId="0" applyFill="1" applyBorder="1"/>
    <xf numFmtId="0" fontId="3" fillId="2" borderId="7" xfId="0" applyFont="1" applyFill="1" applyBorder="1" applyAlignment="1">
      <alignment vertical="center"/>
    </xf>
    <xf numFmtId="0" fontId="0" fillId="2" borderId="7" xfId="0" applyFill="1" applyBorder="1"/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0" fillId="2" borderId="8" xfId="0" applyFill="1" applyBorder="1"/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0" fillId="2" borderId="9" xfId="0" applyFill="1" applyBorder="1"/>
    <xf numFmtId="0" fontId="3" fillId="2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0" fillId="2" borderId="10" xfId="0" applyFill="1" applyBorder="1"/>
    <xf numFmtId="0" fontId="5" fillId="3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 wrapText="1"/>
    </xf>
    <xf numFmtId="0" fontId="0" fillId="2" borderId="0" xfId="0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9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left" vertical="center" indent="1"/>
    </xf>
    <xf numFmtId="164" fontId="11" fillId="0" borderId="15" xfId="0" applyNumberFormat="1" applyFont="1" applyBorder="1" applyAlignment="1">
      <alignment horizontal="center" vertical="center"/>
    </xf>
    <xf numFmtId="9" fontId="11" fillId="0" borderId="15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left" vertical="center" inden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3" fillId="4" borderId="17" xfId="0" applyFont="1" applyFill="1" applyBorder="1" applyAlignment="1">
      <alignment horizontal="left" indent="1"/>
    </xf>
    <xf numFmtId="0" fontId="14" fillId="4" borderId="18" xfId="0" applyFont="1" applyFill="1" applyBorder="1" applyAlignment="1">
      <alignment horizontal="right"/>
    </xf>
    <xf numFmtId="0" fontId="15" fillId="4" borderId="19" xfId="0" applyFont="1" applyFill="1" applyBorder="1" applyAlignment="1">
      <alignment horizontal="right"/>
    </xf>
    <xf numFmtId="0" fontId="16" fillId="0" borderId="20" xfId="0" applyFont="1" applyBorder="1" applyAlignment="1">
      <alignment horizontal="left" vertical="center" indent="1"/>
    </xf>
    <xf numFmtId="164" fontId="0" fillId="0" borderId="0" xfId="0" applyNumberFormat="1" applyAlignment="1">
      <alignment horizontal="right"/>
    </xf>
    <xf numFmtId="165" fontId="17" fillId="0" borderId="21" xfId="0" applyNumberFormat="1" applyFont="1" applyBorder="1" applyAlignment="1">
      <alignment horizontal="right"/>
    </xf>
    <xf numFmtId="9" fontId="0" fillId="0" borderId="0" xfId="0" applyNumberFormat="1" applyAlignment="1">
      <alignment horizontal="right"/>
    </xf>
    <xf numFmtId="0" fontId="18" fillId="0" borderId="0" xfId="0" applyFont="1"/>
    <xf numFmtId="0" fontId="13" fillId="4" borderId="0" xfId="0" applyFont="1" applyFill="1"/>
    <xf numFmtId="166" fontId="13" fillId="4" borderId="0" xfId="0" applyNumberFormat="1" applyFont="1" applyFill="1" applyAlignment="1">
      <alignment horizontal="right"/>
    </xf>
    <xf numFmtId="0" fontId="19" fillId="4" borderId="0" xfId="0" applyFont="1" applyFill="1" applyAlignment="1">
      <alignment horizontal="left"/>
    </xf>
    <xf numFmtId="17" fontId="13" fillId="4" borderId="0" xfId="0" applyNumberFormat="1" applyFont="1" applyFill="1" applyAlignment="1">
      <alignment horizontal="right"/>
    </xf>
    <xf numFmtId="164" fontId="0" fillId="0" borderId="0" xfId="0" applyNumberFormat="1"/>
    <xf numFmtId="49" fontId="20" fillId="0" borderId="0" xfId="0" applyNumberFormat="1" applyFont="1" applyAlignment="1">
      <alignment vertical="top"/>
    </xf>
    <xf numFmtId="164" fontId="21" fillId="3" borderId="25" xfId="0" applyNumberFormat="1" applyFont="1" applyFill="1" applyBorder="1"/>
    <xf numFmtId="9" fontId="0" fillId="0" borderId="0" xfId="0" applyNumberFormat="1"/>
    <xf numFmtId="9" fontId="21" fillId="3" borderId="25" xfId="0" applyNumberFormat="1" applyFont="1" applyFill="1" applyBorder="1"/>
    <xf numFmtId="4" fontId="0" fillId="0" borderId="0" xfId="0" applyNumberFormat="1"/>
    <xf numFmtId="4" fontId="21" fillId="3" borderId="25" xfId="0" applyNumberFormat="1" applyFont="1" applyFill="1" applyBorder="1"/>
    <xf numFmtId="3" fontId="0" fillId="0" borderId="0" xfId="0" applyNumberFormat="1"/>
    <xf numFmtId="3" fontId="21" fillId="3" borderId="25" xfId="0" applyNumberFormat="1" applyFont="1" applyFill="1" applyBorder="1"/>
    <xf numFmtId="0" fontId="22" fillId="3" borderId="0" xfId="0" applyFont="1" applyFill="1"/>
    <xf numFmtId="167" fontId="0" fillId="0" borderId="0" xfId="0" applyNumberFormat="1"/>
    <xf numFmtId="164" fontId="18" fillId="0" borderId="0" xfId="0" applyNumberFormat="1" applyFont="1"/>
    <xf numFmtId="0" fontId="18" fillId="5" borderId="26" xfId="0" applyFont="1" applyFill="1" applyBorder="1"/>
    <xf numFmtId="164" fontId="18" fillId="5" borderId="26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6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9" Type="http://schemas.openxmlformats.org/officeDocument/2006/relationships/worksheet" Target="worksheets/sheet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200" b="1">
                <a:solidFill>
                  <a:srgbClr val="333333"/>
                </a:solidFill>
              </a:defRPr>
            </a:pPr>
            <a:r>
              <a:rPr lang="en-US" sz="1200" b="1"/>
              <a:t>Récurrent et projet, mois par mois</a:t>
            </a:r>
          </a:p>
        </c:rich>
      </c:tx>
      <c:overlay val="0"/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'Pilotage'!$T$2:$T$2</c:f>
              <c:strCache>
                <c:ptCount val="1"/>
                <c:pt idx="0">
                  <c:v>Abonnements</c:v>
                </c:pt>
              </c:strCache>
            </c:strRef>
          </c:tx>
          <c:spPr>
            <a:solidFill>
              <a:srgbClr val="C8A74D">
                <a:alpha val="35000"/>
              </a:srgbClr>
            </a:solidFill>
            <a:ln w="15000">
              <a:solidFill>
                <a:srgbClr val="C8A74D"/>
              </a:solidFill>
            </a:ln>
          </c:spPr>
          <c:cat>
            <c:strRef>
              <c:f>'Pilotage'!$U$1:$W$1</c:f>
              <c:strCache>
                <c:ptCount val="3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</c:strCache>
            </c:strRef>
          </c:cat>
          <c:val>
            <c:numRef>
              <c:f>'Pilotage'!$U$2:$W$2</c:f>
              <c:numCache>
                <c:formatCode>#,##0" €";(#,##0" €");-</c:formatCode>
                <c:ptCount val="3"/>
                <c:pt idx="0">
                  <c:v>543000</c:v>
                </c:pt>
                <c:pt idx="1">
                  <c:v>792000</c:v>
                </c:pt>
                <c:pt idx="2">
                  <c:v>1113000</c:v>
                </c:pt>
              </c:numCache>
            </c:numRef>
          </c:val>
        </c:ser>
        <c:ser>
          <c:idx val="1"/>
          <c:order val="1"/>
          <c:tx>
            <c:strRef>
              <c:f>'Pilotage'!$T$3:$T$3</c:f>
              <c:strCache>
                <c:ptCount val="1"/>
                <c:pt idx="0">
                  <c:v>Prestations de projet</c:v>
                </c:pt>
              </c:strCache>
            </c:strRef>
          </c:tx>
          <c:spPr>
            <a:solidFill>
              <a:srgbClr val="386C0B">
                <a:alpha val="35000"/>
              </a:srgbClr>
            </a:solidFill>
            <a:ln w="15000">
              <a:solidFill>
                <a:srgbClr val="386C0B"/>
              </a:solidFill>
            </a:ln>
          </c:spPr>
          <c:cat>
            <c:strRef>
              <c:f>'Pilotage'!$U$1:$W$1</c:f>
              <c:strCache>
                <c:ptCount val="3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</c:strCache>
            </c:strRef>
          </c:cat>
          <c:val>
            <c:numRef>
              <c:f>'Pilotage'!$U$3:$W$3</c:f>
              <c:numCache>
                <c:formatCode>#,##0" €";(#,##0" €");-</c:formatCode>
                <c:ptCount val="3"/>
                <c:pt idx="0">
                  <c:v>1497000</c:v>
                </c:pt>
                <c:pt idx="1">
                  <c:v>1760850</c:v>
                </c:pt>
                <c:pt idx="2">
                  <c:v>2031700</c:v>
                </c:pt>
              </c:numCache>
            </c:numRef>
          </c:val>
        </c:ser>
        <c:axId val="111"/>
        <c:axId val="222"/>
      </c:areaChart>
      <c:catAx>
        <c:axId val="111"/>
        <c:scaling>
          <c:orientation val="minMax"/>
        </c:scaling>
        <c:delete val="0"/>
        <c:axPos val="b"/>
        <c:txPr>
          <a:bodyPr/>
          <a:lstStyle/>
          <a:p>
            <a:pPr>
              <a:defRPr sz="900">
                <a:solidFill>
                  <a:srgbClr val="666666"/>
                </a:solidFill>
              </a:defRPr>
            </a:pPr>
            <a:endParaRPr lang="en-US"/>
          </a:p>
        </c:txPr>
        <c:crossAx val="222"/>
      </c:catAx>
      <c:valAx>
        <c:axId val="222"/>
        <c:scaling>
          <c:orientation val="minMax"/>
        </c:scaling>
        <c:delete val="0"/>
        <c:axPos val="l"/>
        <c:numFmt formatCode="#,##0" sourceLinked="0"/>
        <c:txPr>
          <a:bodyPr/>
          <a:lstStyle/>
          <a:p>
            <a:pPr>
              <a:defRPr sz="900">
                <a:solidFill>
                  <a:srgbClr val="666666"/>
                </a:solidFill>
              </a:defRPr>
            </a:pPr>
            <a:endParaRPr lang="en-US"/>
          </a:p>
        </c:txPr>
        <c:crossAx val="111"/>
      </c:valAx>
    </c:plotArea>
    <c:legend>
      <c:legendPos val="b"/>
      <c:overlay val="0"/>
      <c:txPr>
        <a:bodyPr/>
        <a:lstStyle/>
        <a:p>
          <a:pPr>
            <a:defRPr sz="1000">
              <a:solidFill>
                <a:srgbClr val="444444"/>
              </a:solidFill>
            </a:defRPr>
          </a:pPr>
          <a:endParaRPr lang="en-US"/>
        </a:p>
      </c:txPr>
    </c:legend>
    <c:plotVisOnly val="0"/>
    <c:dispBlanksAs val="gap"/>
  </c:chart>
  <c:spPr>
    <a:noFill/>
    <a:ln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200" b="1">
                <a:solidFill>
                  <a:srgbClr val="333333"/>
                </a:solidFill>
              </a:defRPr>
            </a:pPr>
            <a:r>
              <a:rPr lang="en-US" sz="1200" b="1"/>
              <a:t>EBITDA mensuel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'Pilotage'!$T$6:$T$6</c:f>
              <c:strCache>
                <c:ptCount val="1"/>
                <c:pt idx="0">
                  <c:v>EBITDA</c:v>
                </c:pt>
              </c:strCache>
            </c:strRef>
          </c:tx>
          <c:spPr>
            <a:solidFill>
              <a:srgbClr val="C8A74D"/>
            </a:solidFill>
            <a:ln w="0">
              <a:noFill/>
            </a:ln>
          </c:spPr>
          <c:invertIfNegative val="0"/>
          <c:cat>
            <c:strRef>
              <c:f>'Pilotage'!$U$5:$W$5</c:f>
              <c:strCache>
                <c:ptCount val="3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</c:strCache>
            </c:strRef>
          </c:cat>
          <c:val>
            <c:numRef>
              <c:f>'Pilotage'!$U$6:$W$6</c:f>
              <c:numCache>
                <c:formatCode>#,##0" €";(#,##0" €");-</c:formatCode>
                <c:ptCount val="3"/>
                <c:pt idx="0">
                  <c:v>391630</c:v>
                </c:pt>
                <c:pt idx="1">
                  <c:v>559156.5</c:v>
                </c:pt>
                <c:pt idx="2">
                  <c:v>795871.5</c:v>
                </c:pt>
              </c:numCache>
            </c:numRef>
          </c:val>
        </c:ser>
        <c:gapWidth val="80"/>
        <c:axId val="111"/>
        <c:axId val="222"/>
      </c:barChart>
      <c:catAx>
        <c:axId val="111"/>
        <c:scaling>
          <c:orientation val="minMax"/>
        </c:scaling>
        <c:delete val="0"/>
        <c:axPos val="b"/>
        <c:txPr>
          <a:bodyPr/>
          <a:lstStyle/>
          <a:p>
            <a:pPr>
              <a:defRPr sz="900">
                <a:solidFill>
                  <a:srgbClr val="666666"/>
                </a:solidFill>
              </a:defRPr>
            </a:pPr>
            <a:endParaRPr lang="en-US"/>
          </a:p>
        </c:txPr>
        <c:crossAx val="222"/>
      </c:catAx>
      <c:valAx>
        <c:axId val="222"/>
        <c:scaling>
          <c:orientation val="minMax"/>
        </c:scaling>
        <c:delete val="0"/>
        <c:axPos val="l"/>
        <c:numFmt formatCode="#,##0" sourceLinked="0"/>
        <c:txPr>
          <a:bodyPr/>
          <a:lstStyle/>
          <a:p>
            <a:pPr>
              <a:defRPr sz="900">
                <a:solidFill>
                  <a:srgbClr val="666666"/>
                </a:solidFill>
              </a:defRPr>
            </a:pPr>
            <a:endParaRPr lang="en-US"/>
          </a:p>
        </c:txPr>
        <c:crossAx val="111"/>
      </c:valAx>
    </c:plotArea>
    <c:legend>
      <c:legendPos val="b"/>
      <c:overlay val="0"/>
      <c:txPr>
        <a:bodyPr/>
        <a:lstStyle/>
        <a:p>
          <a:pPr>
            <a:defRPr sz="1000">
              <a:solidFill>
                <a:srgbClr val="444444"/>
              </a:solidFill>
            </a:defRPr>
          </a:pPr>
          <a:endParaRPr lang="en-US"/>
        </a:p>
      </c:txPr>
    </c:legend>
    <c:plotVisOnly val="0"/>
    <c:dispBlanksAs val="gap"/>
  </c:chart>
  <c:spPr>
    <a:noFill/>
    <a:ln>
      <a:noFill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200" b="1">
                <a:solidFill>
                  <a:srgbClr val="333333"/>
                </a:solidFill>
              </a:defRPr>
            </a:pPr>
            <a:r>
              <a:rPr lang="en-US" sz="1200" b="1"/>
              <a:t>Trésorerie de clôture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'Pilotage'!$T$9:$T$9</c:f>
              <c:strCache>
                <c:ptCount val="1"/>
                <c:pt idx="0">
                  <c:v>Trésorerie de clôture</c:v>
                </c:pt>
              </c:strCache>
            </c:strRef>
          </c:tx>
          <c:spPr>
            <a:ln w="22000">
              <a:solidFill>
                <a:srgbClr val="C8A74D"/>
              </a:solidFill>
              <a:round/>
            </a:ln>
          </c:spPr>
          <c:marker>
            <c:symbol val="circle"/>
            <c:size val="4"/>
            <c:spPr>
              <a:solidFill>
                <a:srgbClr val="C8A74D"/>
              </a:solidFill>
            </c:spPr>
          </c:marker>
          <c:cat>
            <c:strRef>
              <c:f>'Pilotage'!$U$8:$W$8</c:f>
              <c:strCache>
                <c:ptCount val="3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</c:strCache>
            </c:strRef>
          </c:cat>
          <c:val>
            <c:numRef>
              <c:f>'Pilotage'!$U$9:$W$9</c:f>
              <c:numCache>
                <c:formatCode>#,##0" €";(#,##0" €");-</c:formatCode>
                <c:ptCount val="3"/>
                <c:pt idx="0">
                  <c:v>449299</c:v>
                </c:pt>
                <c:pt idx="1">
                  <c:v>806279.5</c:v>
                </c:pt>
                <c:pt idx="2">
                  <c:v>1350763</c:v>
                </c:pt>
              </c:numCache>
            </c:numRef>
          </c:val>
          <c:smooth val="1"/>
        </c:ser>
        <c:marker val="1"/>
        <c:axId val="111"/>
        <c:axId val="222"/>
      </c:lineChart>
      <c:catAx>
        <c:axId val="111"/>
        <c:scaling>
          <c:orientation val="minMax"/>
        </c:scaling>
        <c:delete val="0"/>
        <c:axPos val="b"/>
        <c:txPr>
          <a:bodyPr/>
          <a:lstStyle/>
          <a:p>
            <a:pPr>
              <a:defRPr sz="900">
                <a:solidFill>
                  <a:srgbClr val="666666"/>
                </a:solidFill>
              </a:defRPr>
            </a:pPr>
            <a:endParaRPr lang="en-US"/>
          </a:p>
        </c:txPr>
        <c:crossAx val="222"/>
      </c:catAx>
      <c:valAx>
        <c:axId val="222"/>
        <c:scaling>
          <c:orientation val="minMax"/>
        </c:scaling>
        <c:delete val="0"/>
        <c:axPos val="l"/>
        <c:numFmt formatCode="#,##0" sourceLinked="0"/>
        <c:txPr>
          <a:bodyPr/>
          <a:lstStyle/>
          <a:p>
            <a:pPr>
              <a:defRPr sz="900">
                <a:solidFill>
                  <a:srgbClr val="666666"/>
                </a:solidFill>
              </a:defRPr>
            </a:pPr>
            <a:endParaRPr lang="en-US"/>
          </a:p>
        </c:txPr>
        <c:crossAx val="111"/>
      </c:valAx>
    </c:plotArea>
    <c:legend>
      <c:legendPos val="b"/>
      <c:overlay val="0"/>
      <c:txPr>
        <a:bodyPr/>
        <a:lstStyle/>
        <a:p>
          <a:pPr>
            <a:defRPr sz="1000">
              <a:solidFill>
                <a:srgbClr val="444444"/>
              </a:solidFill>
            </a:defRPr>
          </a:pPr>
          <a:endParaRPr lang="en-US"/>
        </a:p>
      </c:txPr>
    </c:legend>
    <c:plotVisOnly val="0"/>
    <c:dispBlanksAs val="gap"/>
  </c:chart>
  <c:spPr>
    <a:noFill/>
    <a:ln>
      <a:noFill/>
    </a:ln>
  </c:spPr>
</c:chartSpace>
</file>

<file path=xl/drawings/_rels/drawing101.xml.rels><?xml version="1.0" encoding="UTF-8" standalone="yes"?>
<Relationships xmlns="http://schemas.openxmlformats.org/package/2006/relationships">
<Relationship Id="rId1" Type="http://schemas.openxmlformats.org/officeDocument/2006/relationships/chart" Target="../charts/chart1.xml"/>
<Relationship Id="rId2" Type="http://schemas.openxmlformats.org/officeDocument/2006/relationships/chart" Target="../charts/chart2.xml"/>
<Relationship Id="rId3" Type="http://schemas.openxmlformats.org/officeDocument/2006/relationships/chart" Target="../charts/chart3.xml"/>
</Relationships>
</file>

<file path=xl/drawings/drawing10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0</xdr:col>
      <xdr:colOff>0</xdr:colOff>
      <xdr:row>10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" name="Chart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/>
  </xdr:twoCellAnchor>
  <xdr:twoCellAnchor>
    <xdr:from>
      <xdr:col>7</xdr:col>
      <xdr:colOff>0</xdr:colOff>
      <xdr:row>10</xdr:row>
      <xdr:rowOff>0</xdr:rowOff>
    </xdr:from>
    <xdr:to>
      <xdr:col>12</xdr:col>
      <xdr:colOff>0</xdr:colOff>
      <xdr:row>26</xdr:row>
      <xdr:rowOff>0</xdr:rowOff>
    </xdr:to>
    <xdr:graphicFrame macro="">
      <xdr:nvGraphicFramePr>
        <xdr:cNvPr id="3" name="Chart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r:id="rId2"/>
        </a:graphicData>
      </a:graphic>
    </xdr:graphicFrame>
    <xdr:clientData/>
  </xdr:twoCellAnchor>
  <xdr:twoCellAnchor>
    <xdr:from>
      <xdr:col>0</xdr:col>
      <xdr:colOff>0</xdr:colOff>
      <xdr:row>26</xdr:row>
      <xdr:rowOff>0</xdr:rowOff>
    </xdr:from>
    <xdr:to>
      <xdr:col>7</xdr:col>
      <xdr:colOff>0</xdr:colOff>
      <xdr:row>42</xdr:row>
      <xdr:rowOff>0</xdr:rowOff>
    </xdr:to>
    <xdr:graphicFrame macro="">
      <xdr:nvGraphicFramePr>
        <xdr:cNvPr id="4" name="Chart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#&apos;Pilotage&apos;!A1" TargetMode="External"/><Relationship Id="rId2" Type="http://schemas.openxmlformats.org/officeDocument/2006/relationships/hyperlink" Target="#&apos;Pilotage&apos;!A1" TargetMode="External"/><Relationship Id="rId3" Type="http://schemas.openxmlformats.org/officeDocument/2006/relationships/hyperlink" Target="#&apos;Hypoth&#232;ses&apos;!A1" TargetMode="External"/><Relationship Id="rId4" Type="http://schemas.openxmlformats.org/officeDocument/2006/relationships/hyperlink" Target="#&apos;Hypoth&#232;ses&apos;!A1" TargetMode="External"/><Relationship Id="rId5" Type="http://schemas.openxmlformats.org/officeDocument/2006/relationships/hyperlink" Target="#&apos;Compte de r&#233;sultat&apos;!A1" TargetMode="External"/><Relationship Id="rId6" Type="http://schemas.openxmlformats.org/officeDocument/2006/relationships/hyperlink" Target="#&apos;Compte de r&#233;sultat&apos;!A1" TargetMode="External"/><Relationship Id="rId7" Type="http://schemas.openxmlformats.org/officeDocument/2006/relationships/hyperlink" Target="#&apos;Tr&#233;sorerie&apos;!A1" TargetMode="External"/><Relationship Id="rId8" Type="http://schemas.openxmlformats.org/officeDocument/2006/relationships/hyperlink" Target="#&apos;Tr&#233;sorerie&apos;!A1" TargetMode="External"/><Relationship Id="rId9" Type="http://schemas.openxmlformats.org/officeDocument/2006/relationships/hyperlink" Target="#&apos;Indicateurs&apos;!A1" TargetMode="External"/><Relationship Id="rId10" Type="http://schemas.openxmlformats.org/officeDocument/2006/relationships/hyperlink" Target="#&apos;Indicateurs&apos;!A1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21"/>
  <sheetViews>
    <sheetView workbookViewId="0" showGridLines="0" zoomScale="120"/>
  </sheetViews>
  <sheetFormatPr defaultRowHeight="15" outlineLevelRow="0" outlineLevelCol="0" x14ac:dyDescent="55"/>
  <cols>
    <col min="1" max="2" width="3.4" customWidth="1"/>
    <col min="3" max="3" width="1.4" customWidth="1"/>
    <col min="4" max="4" width="33.3" customWidth="1"/>
    <col min="5" max="5" width="9.1" customWidth="1"/>
    <col min="6" max="6" width="2.1" customWidth="1"/>
    <col min="7" max="14" width="9.1" customWidth="1"/>
    <col min="15" max="15" width="14" customWidth="1"/>
  </cols>
  <sheetData>
    <row r="2" spans="2:16" x14ac:dyDescent="0.2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ht="31" customHeight="1" spans="2:16" x14ac:dyDescent="0.25">
      <c r="B3" s="4"/>
      <c r="C3" s="5" t="s">
        <v>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</row>
    <row r="4" ht="20" customHeight="1" spans="2:16" x14ac:dyDescent="0.25">
      <c r="B4" s="4"/>
      <c r="C4" s="8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</row>
    <row r="5" spans="2:16" x14ac:dyDescent="0.25">
      <c r="B5" s="4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</row>
    <row r="6" ht="22" customHeight="1" spans="2:16" x14ac:dyDescent="0.25">
      <c r="B6" s="4"/>
      <c r="C6" s="9"/>
      <c r="D6" s="10" t="s">
        <v>2</v>
      </c>
      <c r="E6" s="11"/>
      <c r="F6" s="12" t="s">
        <v>3</v>
      </c>
      <c r="G6" s="6"/>
      <c r="H6" s="6"/>
      <c r="I6" s="6"/>
      <c r="J6" s="6"/>
      <c r="K6" s="6"/>
      <c r="L6" s="6"/>
      <c r="M6" s="6"/>
      <c r="N6" s="6"/>
      <c r="O6" s="6"/>
      <c r="P6" s="7"/>
    </row>
    <row r="7" ht="22" customHeight="1" spans="2:16" x14ac:dyDescent="0.25">
      <c r="B7" s="4"/>
      <c r="C7" s="9"/>
      <c r="D7" s="13" t="s">
        <v>4</v>
      </c>
      <c r="E7" s="14"/>
      <c r="F7" s="15" t="s">
        <v>3</v>
      </c>
      <c r="G7" s="6"/>
      <c r="H7" s="6"/>
      <c r="I7" s="6"/>
      <c r="J7" s="6"/>
      <c r="K7" s="6"/>
      <c r="L7" s="6"/>
      <c r="M7" s="6"/>
      <c r="N7" s="6"/>
      <c r="O7" s="6"/>
      <c r="P7" s="7"/>
    </row>
    <row r="8" ht="22" customHeight="1" spans="2:16" x14ac:dyDescent="0.25">
      <c r="B8" s="4"/>
      <c r="C8" s="9"/>
      <c r="D8" s="13" t="s">
        <v>5</v>
      </c>
      <c r="E8" s="14"/>
      <c r="F8" s="15" t="s">
        <v>3</v>
      </c>
      <c r="G8" s="6"/>
      <c r="H8" s="6"/>
      <c r="I8" s="6"/>
      <c r="J8" s="6"/>
      <c r="K8" s="6"/>
      <c r="L8" s="6"/>
      <c r="M8" s="6"/>
      <c r="N8" s="6"/>
      <c r="O8" s="6"/>
      <c r="P8" s="7"/>
    </row>
    <row r="9" ht="22" customHeight="1" spans="2:16" x14ac:dyDescent="0.25">
      <c r="B9" s="4"/>
      <c r="C9" s="9"/>
      <c r="D9" s="13" t="s">
        <v>6</v>
      </c>
      <c r="E9" s="14"/>
      <c r="F9" s="15" t="s">
        <v>3</v>
      </c>
      <c r="G9" s="6"/>
      <c r="H9" s="6"/>
      <c r="I9" s="6"/>
      <c r="J9" s="6"/>
      <c r="K9" s="6"/>
      <c r="L9" s="6"/>
      <c r="M9" s="6"/>
      <c r="N9" s="6"/>
      <c r="O9" s="6"/>
      <c r="P9" s="7"/>
    </row>
    <row r="10" ht="22" customHeight="1" spans="2:16" x14ac:dyDescent="0.25">
      <c r="B10" s="4"/>
      <c r="C10" s="9"/>
      <c r="D10" s="16" t="s">
        <v>7</v>
      </c>
      <c r="E10" s="17"/>
      <c r="F10" s="18" t="s">
        <v>3</v>
      </c>
      <c r="G10" s="6"/>
      <c r="H10" s="6"/>
      <c r="I10" s="6"/>
      <c r="J10" s="6"/>
      <c r="K10" s="6"/>
      <c r="L10" s="6"/>
      <c r="M10" s="6"/>
      <c r="N10" s="6"/>
      <c r="O10" s="6"/>
      <c r="P10" s="7"/>
    </row>
    <row r="11" spans="2:16" x14ac:dyDescent="0.25"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</row>
    <row r="12" spans="2:16" x14ac:dyDescent="0.25">
      <c r="B12" s="4"/>
      <c r="C12" s="19" t="s">
        <v>8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2:16" x14ac:dyDescent="0.25">
      <c r="B13" s="4"/>
      <c r="C13" s="20"/>
      <c r="D13" s="21" t="s">
        <v>9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7"/>
    </row>
    <row r="14" spans="2:16" x14ac:dyDescent="0.25">
      <c r="B14" s="4"/>
      <c r="C14" s="20"/>
      <c r="D14" s="22" t="s">
        <v>10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7"/>
    </row>
    <row r="15" spans="2:16" x14ac:dyDescent="0.25">
      <c r="B15" s="4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7"/>
    </row>
    <row r="16" spans="2:16" x14ac:dyDescent="0.25">
      <c r="B16" s="4"/>
      <c r="C16" s="23" t="s">
        <v>11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7"/>
    </row>
    <row r="17" spans="2:16" x14ac:dyDescent="0.25">
      <c r="B17" s="4"/>
      <c r="C17" s="20"/>
      <c r="D17" s="24" t="s">
        <v>12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"/>
    </row>
    <row r="18" spans="2:16" x14ac:dyDescent="0.25">
      <c r="B18" s="4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7"/>
    </row>
    <row r="19" spans="2:16" x14ac:dyDescent="0.25">
      <c r="B19" s="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25" t="s">
        <v>13</v>
      </c>
      <c r="P19" s="7"/>
    </row>
    <row r="20" spans="2:16" x14ac:dyDescent="0.25">
      <c r="B20" s="4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26" t="s">
        <v>14</v>
      </c>
      <c r="P20" s="7"/>
    </row>
    <row r="21" spans="2:16" x14ac:dyDescent="0.25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9"/>
    </row>
  </sheetData>
  <hyperlinks>
    <hyperlink ref="D6" r:id="rId1" tooltip="Open Pilotage" location="#'Pilotage'!A1"/>
    <hyperlink ref="F6" r:id="rId2" tooltip="Open Pilotage" location="#'Pilotage'!A1"/>
    <hyperlink ref="D7" r:id="rId3" tooltip="Open Hypothèses" location="#'Hypothèses'!A1"/>
    <hyperlink ref="F7" r:id="rId4" tooltip="Open Hypothèses" location="#'Hypothèses'!A1"/>
    <hyperlink ref="D8" r:id="rId5" tooltip="Open Compte de résultat" location="#'Compte de résultat'!A1"/>
    <hyperlink ref="F8" r:id="rId6" tooltip="Open Compte de résultat" location="#'Compte de résultat'!A1"/>
    <hyperlink ref="D9" r:id="rId7" tooltip="Open Trésorerie" location="#'Trésorerie'!A1"/>
    <hyperlink ref="F9" r:id="rId8" tooltip="Open Trésorerie" location="#'Trésorerie'!A1"/>
    <hyperlink ref="D10" r:id="rId9" tooltip="Open Indicateurs" location="#'Indicateurs'!A1"/>
    <hyperlink ref="F10" r:id="rId10" tooltip="Open Indicateurs" location="#'Indicateurs'!A1"/>
  </hyperlinks>
  <pageSetup orientation="landscape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1"/>
  </sheetPr>
  <dimension ref="A2:AR41"/>
  <sheetViews>
    <sheetView workbookViewId="0" showGridLines="0" zoomScale="120">
      <pane xSplit="2" ySplit="3" topLeftCell="C4" activePane="bottomRight" state="frozen"/>
      <selection pane="bottomRight"/>
    </sheetView>
  </sheetViews>
  <sheetFormatPr defaultRowHeight="15" outlineLevelRow="0" outlineLevelCol="0" x14ac:dyDescent="55"/>
  <cols>
    <col min="1" max="1" width="2" customWidth="1"/>
    <col min="2" max="2" width="30" customWidth="1"/>
    <col min="3" max="5" width="15" customWidth="1"/>
    <col min="6" max="6" width="3" customWidth="1"/>
    <col min="7" max="7" width="40" customWidth="1"/>
    <col min="8" max="8" width="3" customWidth="1"/>
    <col min="9" max="44" width="12" customWidth="1"/>
  </cols>
  <sheetData>
    <row r="2" spans="1:44" s="50" customFormat="1" x14ac:dyDescent="0.25">
      <c r="A2" s="50" t="s">
        <v>34</v>
      </c>
      <c r="B2" s="51" t="s">
        <v>4</v>
      </c>
      <c r="C2" s="52">
        <v>46387</v>
      </c>
      <c r="D2" s="52">
        <v>46752</v>
      </c>
      <c r="E2" s="52">
        <v>47118</v>
      </c>
      <c r="F2" s="50" t="s">
        <v>34</v>
      </c>
      <c r="G2" s="53" t="s">
        <v>35</v>
      </c>
      <c r="H2" s="50" t="s">
        <v>34</v>
      </c>
      <c r="I2" s="54">
        <v>46053</v>
      </c>
      <c r="J2" s="54">
        <v>46081</v>
      </c>
      <c r="K2" s="54">
        <v>46112</v>
      </c>
      <c r="L2" s="54">
        <v>46142</v>
      </c>
      <c r="M2" s="54">
        <v>46173</v>
      </c>
      <c r="N2" s="54">
        <v>46203</v>
      </c>
      <c r="O2" s="54">
        <v>46234</v>
      </c>
      <c r="P2" s="54">
        <v>46265</v>
      </c>
      <c r="Q2" s="54">
        <v>46295</v>
      </c>
      <c r="R2" s="54">
        <v>46326</v>
      </c>
      <c r="S2" s="54">
        <v>46356</v>
      </c>
      <c r="T2" s="54">
        <v>46387</v>
      </c>
      <c r="U2" s="54">
        <v>46418</v>
      </c>
      <c r="V2" s="54">
        <v>46446</v>
      </c>
      <c r="W2" s="54">
        <v>46477</v>
      </c>
      <c r="X2" s="54">
        <v>46507</v>
      </c>
      <c r="Y2" s="54">
        <v>46538</v>
      </c>
      <c r="Z2" s="54">
        <v>46568</v>
      </c>
      <c r="AA2" s="54">
        <v>46599</v>
      </c>
      <c r="AB2" s="54">
        <v>46630</v>
      </c>
      <c r="AC2" s="54">
        <v>46660</v>
      </c>
      <c r="AD2" s="54">
        <v>46691</v>
      </c>
      <c r="AE2" s="54">
        <v>46721</v>
      </c>
      <c r="AF2" s="54">
        <v>46752</v>
      </c>
      <c r="AG2" s="54">
        <v>46783</v>
      </c>
      <c r="AH2" s="54">
        <v>46812</v>
      </c>
      <c r="AI2" s="54">
        <v>46843</v>
      </c>
      <c r="AJ2" s="54">
        <v>46873</v>
      </c>
      <c r="AK2" s="54">
        <v>46904</v>
      </c>
      <c r="AL2" s="54">
        <v>46934</v>
      </c>
      <c r="AM2" s="54">
        <v>46965</v>
      </c>
      <c r="AN2" s="54">
        <v>46996</v>
      </c>
      <c r="AO2" s="54">
        <v>47026</v>
      </c>
      <c r="AP2" s="54">
        <v>47057</v>
      </c>
      <c r="AQ2" s="54">
        <v>47087</v>
      </c>
      <c r="AR2" s="54">
        <v>47118</v>
      </c>
    </row>
    <row r="3" hidden="1" spans="2:44" x14ac:dyDescent="0.25" outlineLevel="1" collapsed="1">
      <c r="B3" t="s">
        <v>36</v>
      </c>
      <c r="C3">
        <v>1</v>
      </c>
      <c r="D3">
        <v>2</v>
      </c>
      <c r="E3">
        <v>3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2</v>
      </c>
      <c r="V3">
        <v>2</v>
      </c>
      <c r="W3">
        <v>2</v>
      </c>
      <c r="X3">
        <v>2</v>
      </c>
      <c r="Y3">
        <v>2</v>
      </c>
      <c r="Z3">
        <v>2</v>
      </c>
      <c r="AA3">
        <v>2</v>
      </c>
      <c r="AB3">
        <v>2</v>
      </c>
      <c r="AC3">
        <v>2</v>
      </c>
      <c r="AD3">
        <v>2</v>
      </c>
      <c r="AE3">
        <v>2</v>
      </c>
      <c r="AF3">
        <v>2</v>
      </c>
      <c r="AG3">
        <v>3</v>
      </c>
      <c r="AH3">
        <v>3</v>
      </c>
      <c r="AI3">
        <v>3</v>
      </c>
      <c r="AJ3">
        <v>3</v>
      </c>
      <c r="AK3">
        <v>3</v>
      </c>
      <c r="AL3">
        <v>3</v>
      </c>
      <c r="AM3">
        <v>3</v>
      </c>
      <c r="AN3">
        <v>3</v>
      </c>
      <c r="AO3">
        <v>3</v>
      </c>
      <c r="AP3">
        <v>3</v>
      </c>
      <c r="AQ3">
        <v>3</v>
      </c>
      <c r="AR3">
        <v>3</v>
      </c>
    </row>
    <row r="5" spans="2:44" x14ac:dyDescent="0.25">
      <c r="B5" s="50" t="s">
        <v>37</v>
      </c>
    </row>
    <row r="7" spans="2:44" x14ac:dyDescent="0.25">
      <c r="B7" t="s">
        <v>38</v>
      </c>
      <c r="C7" s="55">
        <f>SUMIFS(I7:AR7,I3:AR3,C3)</f>
        <v>543000</v>
      </c>
      <c r="D7" s="55">
        <f>SUMIFS(I7:AR7,I3:AR3,D3)</f>
        <v>792000</v>
      </c>
      <c r="E7" s="55">
        <f>SUMIFS(I7:AR7,I3:AR3,E3)</f>
        <v>1113000</v>
      </c>
      <c r="G7" s="56" t="s">
        <v>39</v>
      </c>
      <c r="I7" s="57">
        <v>37000</v>
      </c>
      <c r="J7" s="57">
        <v>38500</v>
      </c>
      <c r="K7" s="57">
        <v>40000</v>
      </c>
      <c r="L7" s="57">
        <v>41500</v>
      </c>
      <c r="M7" s="57">
        <v>43000</v>
      </c>
      <c r="N7" s="57">
        <v>44500</v>
      </c>
      <c r="O7" s="57">
        <v>46000</v>
      </c>
      <c r="P7" s="57">
        <v>47500</v>
      </c>
      <c r="Q7" s="57">
        <v>49000</v>
      </c>
      <c r="R7" s="57">
        <v>50500</v>
      </c>
      <c r="S7" s="57">
        <v>52000</v>
      </c>
      <c r="T7" s="57">
        <v>53500</v>
      </c>
      <c r="U7" s="57">
        <v>55000</v>
      </c>
      <c r="V7" s="57">
        <v>57000</v>
      </c>
      <c r="W7" s="57">
        <v>59000</v>
      </c>
      <c r="X7" s="57">
        <v>61000</v>
      </c>
      <c r="Y7" s="57">
        <v>63000</v>
      </c>
      <c r="Z7" s="57">
        <v>65000</v>
      </c>
      <c r="AA7" s="57">
        <v>67000</v>
      </c>
      <c r="AB7" s="57">
        <v>69000</v>
      </c>
      <c r="AC7" s="57">
        <v>71000</v>
      </c>
      <c r="AD7" s="57">
        <v>73000</v>
      </c>
      <c r="AE7" s="57">
        <v>75000</v>
      </c>
      <c r="AF7" s="57">
        <v>77000</v>
      </c>
      <c r="AG7" s="57">
        <v>79000</v>
      </c>
      <c r="AH7" s="57">
        <v>81500</v>
      </c>
      <c r="AI7" s="57">
        <v>84000</v>
      </c>
      <c r="AJ7" s="57">
        <v>86500</v>
      </c>
      <c r="AK7" s="57">
        <v>89000</v>
      </c>
      <c r="AL7" s="57">
        <v>91500</v>
      </c>
      <c r="AM7" s="57">
        <v>94000</v>
      </c>
      <c r="AN7" s="57">
        <v>96500</v>
      </c>
      <c r="AO7" s="57">
        <v>99000</v>
      </c>
      <c r="AP7" s="57">
        <v>101500</v>
      </c>
      <c r="AQ7" s="57">
        <v>104000</v>
      </c>
      <c r="AR7" s="57">
        <v>106500</v>
      </c>
    </row>
    <row r="8" spans="2:44" x14ac:dyDescent="0.25">
      <c r="B8" t="s">
        <v>40</v>
      </c>
      <c r="C8" s="58">
        <f>SUMIFS(I8:AR8,I3:AR3,C3)</f>
        <v>0</v>
      </c>
      <c r="D8" s="58">
        <f>SUMIFS(I8:AR8,I3:AR3,D3)</f>
        <v>0</v>
      </c>
      <c r="E8" s="58">
        <f>SUMIFS(I8:AR8,I3:AR3,E3)</f>
        <v>0</v>
      </c>
      <c r="G8" s="56" t="s">
        <v>41</v>
      </c>
      <c r="I8" s="59">
        <v>0</v>
      </c>
      <c r="J8" s="59">
        <v>0</v>
      </c>
      <c r="K8" s="59">
        <v>0</v>
      </c>
      <c r="L8" s="59">
        <v>0</v>
      </c>
      <c r="M8" s="59">
        <v>0</v>
      </c>
      <c r="N8" s="59">
        <v>0</v>
      </c>
      <c r="O8" s="59">
        <v>0</v>
      </c>
      <c r="P8" s="59">
        <v>0</v>
      </c>
      <c r="Q8" s="59">
        <v>0</v>
      </c>
      <c r="R8" s="59">
        <v>0</v>
      </c>
      <c r="S8" s="59">
        <v>0</v>
      </c>
      <c r="T8" s="59">
        <v>0</v>
      </c>
      <c r="U8" s="59">
        <v>0</v>
      </c>
      <c r="V8" s="59">
        <v>0</v>
      </c>
      <c r="W8" s="59">
        <v>0</v>
      </c>
      <c r="X8" s="59">
        <v>0</v>
      </c>
      <c r="Y8" s="59">
        <v>0</v>
      </c>
      <c r="Z8" s="59">
        <v>0</v>
      </c>
      <c r="AA8" s="59">
        <v>0</v>
      </c>
      <c r="AB8" s="59">
        <v>0</v>
      </c>
      <c r="AC8" s="59">
        <v>0</v>
      </c>
      <c r="AD8" s="59">
        <v>0</v>
      </c>
      <c r="AE8" s="59">
        <v>0</v>
      </c>
      <c r="AF8" s="59">
        <v>0</v>
      </c>
      <c r="AG8" s="59">
        <v>0</v>
      </c>
      <c r="AH8" s="59">
        <v>0</v>
      </c>
      <c r="AI8" s="59">
        <v>0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0</v>
      </c>
      <c r="AP8" s="59">
        <v>0</v>
      </c>
      <c r="AQ8" s="59">
        <v>0</v>
      </c>
      <c r="AR8" s="59">
        <v>0</v>
      </c>
    </row>
    <row r="10" spans="2:44" x14ac:dyDescent="0.25">
      <c r="B10" s="50" t="s">
        <v>42</v>
      </c>
    </row>
    <row r="12" spans="2:44" x14ac:dyDescent="0.25">
      <c r="B12" t="s">
        <v>43</v>
      </c>
      <c r="C12" s="60">
        <f>SUMIFS(I12:AR12,I3:AR3,C3)</f>
        <v>1497</v>
      </c>
      <c r="D12" s="60">
        <f>SUMIFS(I12:AR12,I3:AR3,D3)</f>
        <v>1677</v>
      </c>
      <c r="E12" s="60">
        <f>SUMIFS(I12:AR12,I3:AR3,E3)</f>
        <v>1847</v>
      </c>
      <c r="G12" s="56" t="s">
        <v>44</v>
      </c>
      <c r="I12" s="61">
        <v>113</v>
      </c>
      <c r="J12" s="61">
        <v>121.5</v>
      </c>
      <c r="K12" s="61">
        <v>140</v>
      </c>
      <c r="L12" s="61">
        <v>128.5</v>
      </c>
      <c r="M12" s="61">
        <v>132</v>
      </c>
      <c r="N12" s="61">
        <v>140.5</v>
      </c>
      <c r="O12" s="61">
        <v>104</v>
      </c>
      <c r="P12" s="61">
        <v>52.5</v>
      </c>
      <c r="Q12" s="61">
        <v>131</v>
      </c>
      <c r="R12" s="61">
        <v>144.5</v>
      </c>
      <c r="S12" s="61">
        <v>148</v>
      </c>
      <c r="T12" s="61">
        <v>141.5</v>
      </c>
      <c r="U12" s="61">
        <v>127</v>
      </c>
      <c r="V12" s="61">
        <v>136</v>
      </c>
      <c r="W12" s="61">
        <v>157</v>
      </c>
      <c r="X12" s="61">
        <v>144</v>
      </c>
      <c r="Y12" s="61">
        <v>148</v>
      </c>
      <c r="Z12" s="61">
        <v>157</v>
      </c>
      <c r="AA12" s="61">
        <v>116</v>
      </c>
      <c r="AB12" s="61">
        <v>59</v>
      </c>
      <c r="AC12" s="61">
        <v>147</v>
      </c>
      <c r="AD12" s="61">
        <v>162</v>
      </c>
      <c r="AE12" s="61">
        <v>166</v>
      </c>
      <c r="AF12" s="61">
        <v>158</v>
      </c>
      <c r="AG12" s="61">
        <v>140</v>
      </c>
      <c r="AH12" s="61">
        <v>150</v>
      </c>
      <c r="AI12" s="61">
        <v>173</v>
      </c>
      <c r="AJ12" s="61">
        <v>158</v>
      </c>
      <c r="AK12" s="61">
        <v>163</v>
      </c>
      <c r="AL12" s="61">
        <v>173</v>
      </c>
      <c r="AM12" s="61">
        <v>128</v>
      </c>
      <c r="AN12" s="61">
        <v>65</v>
      </c>
      <c r="AO12" s="61">
        <v>162</v>
      </c>
      <c r="AP12" s="61">
        <v>178</v>
      </c>
      <c r="AQ12" s="61">
        <v>183</v>
      </c>
      <c r="AR12" s="61">
        <v>174</v>
      </c>
    </row>
    <row r="13" spans="2:44" x14ac:dyDescent="0.25">
      <c r="B13" t="s">
        <v>45</v>
      </c>
      <c r="C13" s="57">
        <v>1000</v>
      </c>
      <c r="D13" s="57">
        <v>1050</v>
      </c>
      <c r="E13" s="57">
        <v>1100</v>
      </c>
      <c r="G13" s="56" t="s">
        <v>46</v>
      </c>
      <c r="I13" s="55">
        <f>INDEX(C13:E13,I3)</f>
        <v>1000</v>
      </c>
      <c r="J13" s="55">
        <f>INDEX(C13:E13,J3)</f>
        <v>1000</v>
      </c>
      <c r="K13" s="55">
        <f>INDEX(C13:E13,K3)</f>
        <v>1000</v>
      </c>
      <c r="L13" s="55">
        <f>INDEX(C13:E13,L3)</f>
        <v>1000</v>
      </c>
      <c r="M13" s="55">
        <f>INDEX(C13:E13,M3)</f>
        <v>1000</v>
      </c>
      <c r="N13" s="55">
        <f>INDEX(C13:E13,N3)</f>
        <v>1000</v>
      </c>
      <c r="O13" s="55">
        <f>INDEX(C13:E13,O3)</f>
        <v>1000</v>
      </c>
      <c r="P13" s="55">
        <f>INDEX(C13:E13,P3)</f>
        <v>1000</v>
      </c>
      <c r="Q13" s="55">
        <f>INDEX(C13:E13,Q3)</f>
        <v>1000</v>
      </c>
      <c r="R13" s="55">
        <f>INDEX(C13:E13,R3)</f>
        <v>1000</v>
      </c>
      <c r="S13" s="55">
        <f>INDEX(C13:E13,S3)</f>
        <v>1000</v>
      </c>
      <c r="T13" s="55">
        <f>INDEX(C13:E13,T3)</f>
        <v>1000</v>
      </c>
      <c r="U13" s="55">
        <f>INDEX(C13:E13,U3)</f>
        <v>1050</v>
      </c>
      <c r="V13" s="55">
        <f>INDEX(C13:E13,V3)</f>
        <v>1050</v>
      </c>
      <c r="W13" s="55">
        <f>INDEX(C13:E13,W3)</f>
        <v>1050</v>
      </c>
      <c r="X13" s="55">
        <f>INDEX(C13:E13,X3)</f>
        <v>1050</v>
      </c>
      <c r="Y13" s="55">
        <f>INDEX(C13:E13,Y3)</f>
        <v>1050</v>
      </c>
      <c r="Z13" s="55">
        <f>INDEX(C13:E13,Z3)</f>
        <v>1050</v>
      </c>
      <c r="AA13" s="55">
        <f>INDEX(C13:E13,AA3)</f>
        <v>1050</v>
      </c>
      <c r="AB13" s="55">
        <f>INDEX(C13:E13,AB3)</f>
        <v>1050</v>
      </c>
      <c r="AC13" s="55">
        <f>INDEX(C13:E13,AC3)</f>
        <v>1050</v>
      </c>
      <c r="AD13" s="55">
        <f>INDEX(C13:E13,AD3)</f>
        <v>1050</v>
      </c>
      <c r="AE13" s="55">
        <f>INDEX(C13:E13,AE3)</f>
        <v>1050</v>
      </c>
      <c r="AF13" s="55">
        <f>INDEX(C13:E13,AF3)</f>
        <v>1050</v>
      </c>
      <c r="AG13" s="55">
        <f>INDEX(C13:E13,AG3)</f>
        <v>1100</v>
      </c>
      <c r="AH13" s="55">
        <f>INDEX(C13:E13,AH3)</f>
        <v>1100</v>
      </c>
      <c r="AI13" s="55">
        <f>INDEX(C13:E13,AI3)</f>
        <v>1100</v>
      </c>
      <c r="AJ13" s="55">
        <f>INDEX(C13:E13,AJ3)</f>
        <v>1100</v>
      </c>
      <c r="AK13" s="55">
        <f>INDEX(C13:E13,AK3)</f>
        <v>1100</v>
      </c>
      <c r="AL13" s="55">
        <f>INDEX(C13:E13,AL3)</f>
        <v>1100</v>
      </c>
      <c r="AM13" s="55">
        <f>INDEX(C13:E13,AM3)</f>
        <v>1100</v>
      </c>
      <c r="AN13" s="55">
        <f>INDEX(C13:E13,AN3)</f>
        <v>1100</v>
      </c>
      <c r="AO13" s="55">
        <f>INDEX(C13:E13,AO3)</f>
        <v>1100</v>
      </c>
      <c r="AP13" s="55">
        <f>INDEX(C13:E13,AP3)</f>
        <v>1100</v>
      </c>
      <c r="AQ13" s="55">
        <f>INDEX(C13:E13,AQ3)</f>
        <v>1100</v>
      </c>
      <c r="AR13" s="55">
        <f>INDEX(C13:E13,AR3)</f>
        <v>1100</v>
      </c>
    </row>
    <row r="14" spans="2:44" x14ac:dyDescent="0.25">
      <c r="B14" t="s">
        <v>47</v>
      </c>
      <c r="C14" s="55">
        <f>SUMIFS(I14:AR14,I3:AR3,C3)</f>
        <v>22300</v>
      </c>
      <c r="D14" s="55">
        <f>SUMIFS(I14:AR14,I3:AR3,D3)</f>
        <v>24600</v>
      </c>
      <c r="E14" s="55">
        <f>SUMIFS(I14:AR14,I3:AR3,E3)</f>
        <v>26900</v>
      </c>
      <c r="G14" s="56" t="s">
        <v>48</v>
      </c>
      <c r="I14" s="57">
        <v>1800</v>
      </c>
      <c r="J14" s="57">
        <v>1800</v>
      </c>
      <c r="K14" s="57">
        <v>2000</v>
      </c>
      <c r="L14" s="57">
        <v>1800</v>
      </c>
      <c r="M14" s="57">
        <v>2000</v>
      </c>
      <c r="N14" s="57">
        <v>2000</v>
      </c>
      <c r="O14" s="57">
        <v>1500</v>
      </c>
      <c r="P14" s="57">
        <v>1000</v>
      </c>
      <c r="Q14" s="57">
        <v>2000</v>
      </c>
      <c r="R14" s="57">
        <v>2200</v>
      </c>
      <c r="S14" s="57">
        <v>2200</v>
      </c>
      <c r="T14" s="57">
        <v>2000</v>
      </c>
      <c r="U14" s="57">
        <v>2000</v>
      </c>
      <c r="V14" s="57">
        <v>2000</v>
      </c>
      <c r="W14" s="57">
        <v>2200</v>
      </c>
      <c r="X14" s="57">
        <v>2000</v>
      </c>
      <c r="Y14" s="57">
        <v>2200</v>
      </c>
      <c r="Z14" s="57">
        <v>2200</v>
      </c>
      <c r="AA14" s="57">
        <v>1700</v>
      </c>
      <c r="AB14" s="57">
        <v>1100</v>
      </c>
      <c r="AC14" s="57">
        <v>2200</v>
      </c>
      <c r="AD14" s="57">
        <v>2400</v>
      </c>
      <c r="AE14" s="57">
        <v>2400</v>
      </c>
      <c r="AF14" s="57">
        <v>2200</v>
      </c>
      <c r="AG14" s="57">
        <v>2200</v>
      </c>
      <c r="AH14" s="57">
        <v>2200</v>
      </c>
      <c r="AI14" s="57">
        <v>2400</v>
      </c>
      <c r="AJ14" s="57">
        <v>2200</v>
      </c>
      <c r="AK14" s="57">
        <v>2400</v>
      </c>
      <c r="AL14" s="57">
        <v>2400</v>
      </c>
      <c r="AM14" s="57">
        <v>1900</v>
      </c>
      <c r="AN14" s="57">
        <v>1200</v>
      </c>
      <c r="AO14" s="57">
        <v>2400</v>
      </c>
      <c r="AP14" s="57">
        <v>2600</v>
      </c>
      <c r="AQ14" s="57">
        <v>2600</v>
      </c>
      <c r="AR14" s="57">
        <v>2400</v>
      </c>
    </row>
    <row r="16" spans="2:44" x14ac:dyDescent="0.25">
      <c r="B16" s="50" t="s">
        <v>49</v>
      </c>
    </row>
    <row r="18" spans="2:44" x14ac:dyDescent="0.25">
      <c r="B18" t="s">
        <v>50</v>
      </c>
      <c r="C18" s="62">
        <f>SUMIFS(I18:AR18,I3:AR3,C3)</f>
        <v>150</v>
      </c>
      <c r="D18" s="62">
        <f>SUMIFS(I18:AR18,I3:AR3,D3)</f>
        <v>183</v>
      </c>
      <c r="E18" s="62">
        <f>SUMIFS(I18:AR18,I3:AR3,E3)</f>
        <v>216</v>
      </c>
      <c r="G18" s="56" t="s">
        <v>51</v>
      </c>
      <c r="I18" s="63">
        <v>11</v>
      </c>
      <c r="J18" s="63">
        <v>11</v>
      </c>
      <c r="K18" s="63">
        <v>11</v>
      </c>
      <c r="L18" s="63">
        <v>12</v>
      </c>
      <c r="M18" s="63">
        <v>12</v>
      </c>
      <c r="N18" s="63">
        <v>12</v>
      </c>
      <c r="O18" s="63">
        <v>13</v>
      </c>
      <c r="P18" s="63">
        <v>13</v>
      </c>
      <c r="Q18" s="63">
        <v>13</v>
      </c>
      <c r="R18" s="63">
        <v>14</v>
      </c>
      <c r="S18" s="63">
        <v>14</v>
      </c>
      <c r="T18" s="63">
        <v>14</v>
      </c>
      <c r="U18" s="63">
        <v>14</v>
      </c>
      <c r="V18" s="63">
        <v>14</v>
      </c>
      <c r="W18" s="63">
        <v>14</v>
      </c>
      <c r="X18" s="63">
        <v>15</v>
      </c>
      <c r="Y18" s="63">
        <v>15</v>
      </c>
      <c r="Z18" s="63">
        <v>15</v>
      </c>
      <c r="AA18" s="63">
        <v>16</v>
      </c>
      <c r="AB18" s="63">
        <v>16</v>
      </c>
      <c r="AC18" s="63">
        <v>16</v>
      </c>
      <c r="AD18" s="63">
        <v>16</v>
      </c>
      <c r="AE18" s="63">
        <v>16</v>
      </c>
      <c r="AF18" s="63">
        <v>16</v>
      </c>
      <c r="AG18" s="63">
        <v>17</v>
      </c>
      <c r="AH18" s="63">
        <v>17</v>
      </c>
      <c r="AI18" s="63">
        <v>17</v>
      </c>
      <c r="AJ18" s="63">
        <v>18</v>
      </c>
      <c r="AK18" s="63">
        <v>18</v>
      </c>
      <c r="AL18" s="63">
        <v>18</v>
      </c>
      <c r="AM18" s="63">
        <v>18</v>
      </c>
      <c r="AN18" s="63">
        <v>18</v>
      </c>
      <c r="AO18" s="63">
        <v>18</v>
      </c>
      <c r="AP18" s="63">
        <v>19</v>
      </c>
      <c r="AQ18" s="63">
        <v>19</v>
      </c>
      <c r="AR18" s="63">
        <v>19</v>
      </c>
    </row>
    <row r="19" spans="2:44" x14ac:dyDescent="0.25">
      <c r="B19" t="s">
        <v>52</v>
      </c>
      <c r="C19" s="57">
        <v>8000</v>
      </c>
      <c r="D19" s="57">
        <v>8200</v>
      </c>
      <c r="E19" s="57">
        <v>8400</v>
      </c>
      <c r="G19" s="56" t="s">
        <v>53</v>
      </c>
      <c r="I19" s="55">
        <f>INDEX(C19:E19,I3)</f>
        <v>8000</v>
      </c>
      <c r="J19" s="55">
        <f>INDEX(C19:E19,J3)</f>
        <v>8000</v>
      </c>
      <c r="K19" s="55">
        <f>INDEX(C19:E19,K3)</f>
        <v>8000</v>
      </c>
      <c r="L19" s="55">
        <f>INDEX(C19:E19,L3)</f>
        <v>8000</v>
      </c>
      <c r="M19" s="55">
        <f>INDEX(C19:E19,M3)</f>
        <v>8000</v>
      </c>
      <c r="N19" s="55">
        <f>INDEX(C19:E19,N3)</f>
        <v>8000</v>
      </c>
      <c r="O19" s="55">
        <f>INDEX(C19:E19,O3)</f>
        <v>8000</v>
      </c>
      <c r="P19" s="55">
        <f>INDEX(C19:E19,P3)</f>
        <v>8000</v>
      </c>
      <c r="Q19" s="55">
        <f>INDEX(C19:E19,Q3)</f>
        <v>8000</v>
      </c>
      <c r="R19" s="55">
        <f>INDEX(C19:E19,R3)</f>
        <v>8000</v>
      </c>
      <c r="S19" s="55">
        <f>INDEX(C19:E19,S3)</f>
        <v>8000</v>
      </c>
      <c r="T19" s="55">
        <f>INDEX(C19:E19,T3)</f>
        <v>8000</v>
      </c>
      <c r="U19" s="55">
        <f>INDEX(C19:E19,U3)</f>
        <v>8200</v>
      </c>
      <c r="V19" s="55">
        <f>INDEX(C19:E19,V3)</f>
        <v>8200</v>
      </c>
      <c r="W19" s="55">
        <f>INDEX(C19:E19,W3)</f>
        <v>8200</v>
      </c>
      <c r="X19" s="55">
        <f>INDEX(C19:E19,X3)</f>
        <v>8200</v>
      </c>
      <c r="Y19" s="55">
        <f>INDEX(C19:E19,Y3)</f>
        <v>8200</v>
      </c>
      <c r="Z19" s="55">
        <f>INDEX(C19:E19,Z3)</f>
        <v>8200</v>
      </c>
      <c r="AA19" s="55">
        <f>INDEX(C19:E19,AA3)</f>
        <v>8200</v>
      </c>
      <c r="AB19" s="55">
        <f>INDEX(C19:E19,AB3)</f>
        <v>8200</v>
      </c>
      <c r="AC19" s="55">
        <f>INDEX(C19:E19,AC3)</f>
        <v>8200</v>
      </c>
      <c r="AD19" s="55">
        <f>INDEX(C19:E19,AD3)</f>
        <v>8200</v>
      </c>
      <c r="AE19" s="55">
        <f>INDEX(C19:E19,AE3)</f>
        <v>8200</v>
      </c>
      <c r="AF19" s="55">
        <f>INDEX(C19:E19,AF3)</f>
        <v>8200</v>
      </c>
      <c r="AG19" s="55">
        <f>INDEX(C19:E19,AG3)</f>
        <v>8400</v>
      </c>
      <c r="AH19" s="55">
        <f>INDEX(C19:E19,AH3)</f>
        <v>8400</v>
      </c>
      <c r="AI19" s="55">
        <f>INDEX(C19:E19,AI3)</f>
        <v>8400</v>
      </c>
      <c r="AJ19" s="55">
        <f>INDEX(C19:E19,AJ3)</f>
        <v>8400</v>
      </c>
      <c r="AK19" s="55">
        <f>INDEX(C19:E19,AK3)</f>
        <v>8400</v>
      </c>
      <c r="AL19" s="55">
        <f>INDEX(C19:E19,AL3)</f>
        <v>8400</v>
      </c>
      <c r="AM19" s="55">
        <f>INDEX(C19:E19,AM3)</f>
        <v>8400</v>
      </c>
      <c r="AN19" s="55">
        <f>INDEX(C19:E19,AN3)</f>
        <v>8400</v>
      </c>
      <c r="AO19" s="55">
        <f>INDEX(C19:E19,AO3)</f>
        <v>8400</v>
      </c>
      <c r="AP19" s="55">
        <f>INDEX(C19:E19,AP3)</f>
        <v>8400</v>
      </c>
      <c r="AQ19" s="55">
        <f>INDEX(C19:E19,AQ3)</f>
        <v>8400</v>
      </c>
      <c r="AR19" s="55">
        <f>INDEX(C19:E19,AR3)</f>
        <v>8400</v>
      </c>
    </row>
    <row r="21" spans="2:44" x14ac:dyDescent="0.25">
      <c r="B21" s="50" t="s">
        <v>54</v>
      </c>
    </row>
    <row r="23" spans="2:44" x14ac:dyDescent="0.25">
      <c r="B23" t="s">
        <v>55</v>
      </c>
      <c r="C23" s="59">
        <v>0.11</v>
      </c>
      <c r="D23" s="59">
        <v>0.11</v>
      </c>
      <c r="E23" s="59">
        <v>0.105</v>
      </c>
      <c r="G23" s="56" t="s">
        <v>56</v>
      </c>
      <c r="I23" s="58">
        <f>INDEX(C23:E23,I3)</f>
        <v>0.11</v>
      </c>
      <c r="J23" s="58">
        <f>INDEX(C23:E23,J3)</f>
        <v>0.11</v>
      </c>
      <c r="K23" s="58">
        <f>INDEX(C23:E23,K3)</f>
        <v>0.11</v>
      </c>
      <c r="L23" s="58">
        <f>INDEX(C23:E23,L3)</f>
        <v>0.11</v>
      </c>
      <c r="M23" s="58">
        <f>INDEX(C23:E23,M3)</f>
        <v>0.11</v>
      </c>
      <c r="N23" s="58">
        <f>INDEX(C23:E23,N3)</f>
        <v>0.11</v>
      </c>
      <c r="O23" s="58">
        <f>INDEX(C23:E23,O3)</f>
        <v>0.11</v>
      </c>
      <c r="P23" s="58">
        <f>INDEX(C23:E23,P3)</f>
        <v>0.11</v>
      </c>
      <c r="Q23" s="58">
        <f>INDEX(C23:E23,Q3)</f>
        <v>0.11</v>
      </c>
      <c r="R23" s="58">
        <f>INDEX(C23:E23,R3)</f>
        <v>0.11</v>
      </c>
      <c r="S23" s="58">
        <f>INDEX(C23:E23,S3)</f>
        <v>0.11</v>
      </c>
      <c r="T23" s="58">
        <f>INDEX(C23:E23,T3)</f>
        <v>0.11</v>
      </c>
      <c r="U23" s="58">
        <f>INDEX(C23:E23,U3)</f>
        <v>0.11</v>
      </c>
      <c r="V23" s="58">
        <f>INDEX(C23:E23,V3)</f>
        <v>0.11</v>
      </c>
      <c r="W23" s="58">
        <f>INDEX(C23:E23,W3)</f>
        <v>0.11</v>
      </c>
      <c r="X23" s="58">
        <f>INDEX(C23:E23,X3)</f>
        <v>0.11</v>
      </c>
      <c r="Y23" s="58">
        <f>INDEX(C23:E23,Y3)</f>
        <v>0.11</v>
      </c>
      <c r="Z23" s="58">
        <f>INDEX(C23:E23,Z3)</f>
        <v>0.11</v>
      </c>
      <c r="AA23" s="58">
        <f>INDEX(C23:E23,AA3)</f>
        <v>0.11</v>
      </c>
      <c r="AB23" s="58">
        <f>INDEX(C23:E23,AB3)</f>
        <v>0.11</v>
      </c>
      <c r="AC23" s="58">
        <f>INDEX(C23:E23,AC3)</f>
        <v>0.11</v>
      </c>
      <c r="AD23" s="58">
        <f>INDEX(C23:E23,AD3)</f>
        <v>0.11</v>
      </c>
      <c r="AE23" s="58">
        <f>INDEX(C23:E23,AE3)</f>
        <v>0.11</v>
      </c>
      <c r="AF23" s="58">
        <f>INDEX(C23:E23,AF3)</f>
        <v>0.11</v>
      </c>
      <c r="AG23" s="58">
        <f>INDEX(C23:E23,AG3)</f>
        <v>0.105</v>
      </c>
      <c r="AH23" s="58">
        <f>INDEX(C23:E23,AH3)</f>
        <v>0.105</v>
      </c>
      <c r="AI23" s="58">
        <f>INDEX(C23:E23,AI3)</f>
        <v>0.105</v>
      </c>
      <c r="AJ23" s="58">
        <f>INDEX(C23:E23,AJ3)</f>
        <v>0.105</v>
      </c>
      <c r="AK23" s="58">
        <f>INDEX(C23:E23,AK3)</f>
        <v>0.105</v>
      </c>
      <c r="AL23" s="58">
        <f>INDEX(C23:E23,AL3)</f>
        <v>0.105</v>
      </c>
      <c r="AM23" s="58">
        <f>INDEX(C23:E23,AM3)</f>
        <v>0.105</v>
      </c>
      <c r="AN23" s="58">
        <f>INDEX(C23:E23,AN3)</f>
        <v>0.105</v>
      </c>
      <c r="AO23" s="58">
        <f>INDEX(C23:E23,AO3)</f>
        <v>0.105</v>
      </c>
      <c r="AP23" s="58">
        <f>INDEX(C23:E23,AP3)</f>
        <v>0.105</v>
      </c>
      <c r="AQ23" s="58">
        <f>INDEX(C23:E23,AQ3)</f>
        <v>0.105</v>
      </c>
      <c r="AR23" s="58">
        <f>INDEX(C23:E23,AR3)</f>
        <v>0.105</v>
      </c>
    </row>
    <row r="24" spans="2:44" x14ac:dyDescent="0.25">
      <c r="B24" t="s">
        <v>57</v>
      </c>
      <c r="C24" s="55">
        <f>SUMIFS(I24:AR24,I3:AR3,C3)</f>
        <v>294000</v>
      </c>
      <c r="D24" s="55">
        <f>SUMIFS(I24:AR24,I3:AR3,D3)</f>
        <v>312000</v>
      </c>
      <c r="E24" s="55">
        <f>SUMIFS(I24:AR24,I3:AR3,E3)</f>
        <v>336000</v>
      </c>
      <c r="G24" s="56" t="s">
        <v>58</v>
      </c>
      <c r="I24" s="57">
        <v>24500</v>
      </c>
      <c r="J24" s="57">
        <v>24500</v>
      </c>
      <c r="K24" s="57">
        <v>24500</v>
      </c>
      <c r="L24" s="57">
        <v>24500</v>
      </c>
      <c r="M24" s="57">
        <v>24500</v>
      </c>
      <c r="N24" s="57">
        <v>24500</v>
      </c>
      <c r="O24" s="57">
        <v>24500</v>
      </c>
      <c r="P24" s="57">
        <v>24500</v>
      </c>
      <c r="Q24" s="57">
        <v>24500</v>
      </c>
      <c r="R24" s="57">
        <v>24500</v>
      </c>
      <c r="S24" s="57">
        <v>24500</v>
      </c>
      <c r="T24" s="57">
        <v>24500</v>
      </c>
      <c r="U24" s="57">
        <v>26000</v>
      </c>
      <c r="V24" s="57">
        <v>26000</v>
      </c>
      <c r="W24" s="57">
        <v>26000</v>
      </c>
      <c r="X24" s="57">
        <v>26000</v>
      </c>
      <c r="Y24" s="57">
        <v>26000</v>
      </c>
      <c r="Z24" s="57">
        <v>26000</v>
      </c>
      <c r="AA24" s="57">
        <v>26000</v>
      </c>
      <c r="AB24" s="57">
        <v>26000</v>
      </c>
      <c r="AC24" s="57">
        <v>26000</v>
      </c>
      <c r="AD24" s="57">
        <v>26000</v>
      </c>
      <c r="AE24" s="57">
        <v>26000</v>
      </c>
      <c r="AF24" s="57">
        <v>26000</v>
      </c>
      <c r="AG24" s="57">
        <v>28000</v>
      </c>
      <c r="AH24" s="57">
        <v>28000</v>
      </c>
      <c r="AI24" s="57">
        <v>28000</v>
      </c>
      <c r="AJ24" s="57">
        <v>28000</v>
      </c>
      <c r="AK24" s="57">
        <v>28000</v>
      </c>
      <c r="AL24" s="57">
        <v>28000</v>
      </c>
      <c r="AM24" s="57">
        <v>28000</v>
      </c>
      <c r="AN24" s="57">
        <v>28000</v>
      </c>
      <c r="AO24" s="57">
        <v>28000</v>
      </c>
      <c r="AP24" s="57">
        <v>28000</v>
      </c>
      <c r="AQ24" s="57">
        <v>28000</v>
      </c>
      <c r="AR24" s="57">
        <v>28000</v>
      </c>
    </row>
    <row r="25" spans="2:44" x14ac:dyDescent="0.25">
      <c r="B25" t="s">
        <v>59</v>
      </c>
      <c r="C25" s="55">
        <f>SUMIFS(I25:AR25,I3:AR3,C3)</f>
        <v>12000</v>
      </c>
      <c r="D25" s="55">
        <f>SUMIFS(I25:AR25,I3:AR3,D3)</f>
        <v>12000</v>
      </c>
      <c r="E25" s="55">
        <f>SUMIFS(I25:AR25,I3:AR3,E3)</f>
        <v>12000</v>
      </c>
      <c r="G25" s="56" t="s">
        <v>60</v>
      </c>
      <c r="I25" s="57">
        <v>1000</v>
      </c>
      <c r="J25" s="57">
        <v>1000</v>
      </c>
      <c r="K25" s="57">
        <v>1000</v>
      </c>
      <c r="L25" s="57">
        <v>1000</v>
      </c>
      <c r="M25" s="57">
        <v>1000</v>
      </c>
      <c r="N25" s="57">
        <v>1000</v>
      </c>
      <c r="O25" s="57">
        <v>1000</v>
      </c>
      <c r="P25" s="57">
        <v>1000</v>
      </c>
      <c r="Q25" s="57">
        <v>1000</v>
      </c>
      <c r="R25" s="57">
        <v>1000</v>
      </c>
      <c r="S25" s="57">
        <v>1000</v>
      </c>
      <c r="T25" s="57">
        <v>1000</v>
      </c>
      <c r="U25" s="57">
        <v>1000</v>
      </c>
      <c r="V25" s="57">
        <v>1000</v>
      </c>
      <c r="W25" s="57">
        <v>1000</v>
      </c>
      <c r="X25" s="57">
        <v>1000</v>
      </c>
      <c r="Y25" s="57">
        <v>1000</v>
      </c>
      <c r="Z25" s="57">
        <v>1000</v>
      </c>
      <c r="AA25" s="57">
        <v>1000</v>
      </c>
      <c r="AB25" s="57">
        <v>1000</v>
      </c>
      <c r="AC25" s="57">
        <v>1000</v>
      </c>
      <c r="AD25" s="57">
        <v>1000</v>
      </c>
      <c r="AE25" s="57">
        <v>1000</v>
      </c>
      <c r="AF25" s="57">
        <v>1000</v>
      </c>
      <c r="AG25" s="57">
        <v>1000</v>
      </c>
      <c r="AH25" s="57">
        <v>1000</v>
      </c>
      <c r="AI25" s="57">
        <v>1000</v>
      </c>
      <c r="AJ25" s="57">
        <v>1000</v>
      </c>
      <c r="AK25" s="57">
        <v>1000</v>
      </c>
      <c r="AL25" s="57">
        <v>1000</v>
      </c>
      <c r="AM25" s="57">
        <v>1000</v>
      </c>
      <c r="AN25" s="57">
        <v>1000</v>
      </c>
      <c r="AO25" s="57">
        <v>1000</v>
      </c>
      <c r="AP25" s="57">
        <v>1000</v>
      </c>
      <c r="AQ25" s="57">
        <v>1000</v>
      </c>
      <c r="AR25" s="57">
        <v>1000</v>
      </c>
    </row>
    <row r="27" spans="2:44" x14ac:dyDescent="0.25">
      <c r="B27" s="50" t="s">
        <v>61</v>
      </c>
    </row>
    <row r="29" spans="2:44" x14ac:dyDescent="0.25">
      <c r="B29" t="s">
        <v>62</v>
      </c>
      <c r="C29" s="57">
        <v>2000</v>
      </c>
      <c r="D29" s="57">
        <v>2500</v>
      </c>
      <c r="E29" s="57">
        <v>3100</v>
      </c>
      <c r="G29" s="56" t="s">
        <v>63</v>
      </c>
      <c r="I29" s="55">
        <f>INDEX(C29:E29,I3)</f>
        <v>2000</v>
      </c>
      <c r="J29" s="55">
        <f>INDEX(C29:E29,J3)</f>
        <v>2000</v>
      </c>
      <c r="K29" s="55">
        <f>INDEX(C29:E29,K3)</f>
        <v>2000</v>
      </c>
      <c r="L29" s="55">
        <f>INDEX(C29:E29,L3)</f>
        <v>2000</v>
      </c>
      <c r="M29" s="55">
        <f>INDEX(C29:E29,M3)</f>
        <v>2000</v>
      </c>
      <c r="N29" s="55">
        <f>INDEX(C29:E29,N3)</f>
        <v>2000</v>
      </c>
      <c r="O29" s="55">
        <f>INDEX(C29:E29,O3)</f>
        <v>2000</v>
      </c>
      <c r="P29" s="55">
        <f>INDEX(C29:E29,P3)</f>
        <v>2000</v>
      </c>
      <c r="Q29" s="55">
        <f>INDEX(C29:E29,Q3)</f>
        <v>2000</v>
      </c>
      <c r="R29" s="55">
        <f>INDEX(C29:E29,R3)</f>
        <v>2000</v>
      </c>
      <c r="S29" s="55">
        <f>INDEX(C29:E29,S3)</f>
        <v>2000</v>
      </c>
      <c r="T29" s="55">
        <f>INDEX(C29:E29,T3)</f>
        <v>2000</v>
      </c>
      <c r="U29" s="55">
        <f>INDEX(C29:E29,U3)</f>
        <v>2500</v>
      </c>
      <c r="V29" s="55">
        <f>INDEX(C29:E29,V3)</f>
        <v>2500</v>
      </c>
      <c r="W29" s="55">
        <f>INDEX(C29:E29,W3)</f>
        <v>2500</v>
      </c>
      <c r="X29" s="55">
        <f>INDEX(C29:E29,X3)</f>
        <v>2500</v>
      </c>
      <c r="Y29" s="55">
        <f>INDEX(C29:E29,Y3)</f>
        <v>2500</v>
      </c>
      <c r="Z29" s="55">
        <f>INDEX(C29:E29,Z3)</f>
        <v>2500</v>
      </c>
      <c r="AA29" s="55">
        <f>INDEX(C29:E29,AA3)</f>
        <v>2500</v>
      </c>
      <c r="AB29" s="55">
        <f>INDEX(C29:E29,AB3)</f>
        <v>2500</v>
      </c>
      <c r="AC29" s="55">
        <f>INDEX(C29:E29,AC3)</f>
        <v>2500</v>
      </c>
      <c r="AD29" s="55">
        <f>INDEX(C29:E29,AD3)</f>
        <v>2500</v>
      </c>
      <c r="AE29" s="55">
        <f>INDEX(C29:E29,AE3)</f>
        <v>2500</v>
      </c>
      <c r="AF29" s="55">
        <f>INDEX(C29:E29,AF3)</f>
        <v>2500</v>
      </c>
      <c r="AG29" s="55">
        <f>INDEX(C29:E29,AG3)</f>
        <v>3100</v>
      </c>
      <c r="AH29" s="55">
        <f>INDEX(C29:E29,AH3)</f>
        <v>3100</v>
      </c>
      <c r="AI29" s="55">
        <f>INDEX(C29:E29,AI3)</f>
        <v>3100</v>
      </c>
      <c r="AJ29" s="55">
        <f>INDEX(C29:E29,AJ3)</f>
        <v>3100</v>
      </c>
      <c r="AK29" s="55">
        <f>INDEX(C29:E29,AK3)</f>
        <v>3100</v>
      </c>
      <c r="AL29" s="55">
        <f>INDEX(C29:E29,AL3)</f>
        <v>3100</v>
      </c>
      <c r="AM29" s="55">
        <f>INDEX(C29:E29,AM3)</f>
        <v>3100</v>
      </c>
      <c r="AN29" s="55">
        <f>INDEX(C29:E29,AN3)</f>
        <v>3100</v>
      </c>
      <c r="AO29" s="55">
        <f>INDEX(C29:E29,AO3)</f>
        <v>3100</v>
      </c>
      <c r="AP29" s="55">
        <f>INDEX(C29:E29,AP3)</f>
        <v>3100</v>
      </c>
      <c r="AQ29" s="55">
        <f>INDEX(C29:E29,AQ3)</f>
        <v>3100</v>
      </c>
      <c r="AR29" s="55">
        <f>INDEX(C29:E29,AR3)</f>
        <v>3100</v>
      </c>
    </row>
    <row r="30" spans="2:44" x14ac:dyDescent="0.25">
      <c r="B30" t="s">
        <v>64</v>
      </c>
      <c r="C30" s="55">
        <f>SUMIFS(I30:AR30,I3:AR3,C3)</f>
        <v>0</v>
      </c>
      <c r="D30" s="55">
        <f>SUMIFS(I30:AR30,I3:AR3,D3)</f>
        <v>0</v>
      </c>
      <c r="E30" s="55">
        <f>SUMIFS(I30:AR30,I3:AR3,E3)</f>
        <v>0</v>
      </c>
      <c r="G30" s="56" t="s">
        <v>65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>
        <v>0</v>
      </c>
      <c r="P30" s="57">
        <v>0</v>
      </c>
      <c r="Q30" s="57">
        <v>0</v>
      </c>
      <c r="R30" s="57">
        <v>0</v>
      </c>
      <c r="S30" s="57">
        <v>0</v>
      </c>
      <c r="T30" s="57">
        <v>0</v>
      </c>
      <c r="U30" s="57">
        <v>0</v>
      </c>
      <c r="V30" s="57">
        <v>0</v>
      </c>
      <c r="W30" s="57">
        <v>0</v>
      </c>
      <c r="X30" s="57">
        <v>0</v>
      </c>
      <c r="Y30" s="57">
        <v>0</v>
      </c>
      <c r="Z30" s="57">
        <v>0</v>
      </c>
      <c r="AA30" s="57">
        <v>0</v>
      </c>
      <c r="AB30" s="57">
        <v>0</v>
      </c>
      <c r="AC30" s="57">
        <v>0</v>
      </c>
      <c r="AD30" s="57">
        <v>0</v>
      </c>
      <c r="AE30" s="57">
        <v>0</v>
      </c>
      <c r="AF30" s="57">
        <v>0</v>
      </c>
      <c r="AG30" s="57">
        <v>0</v>
      </c>
      <c r="AH30" s="57">
        <v>0</v>
      </c>
      <c r="AI30" s="57">
        <v>0</v>
      </c>
      <c r="AJ30" s="57">
        <v>0</v>
      </c>
      <c r="AK30" s="57">
        <v>0</v>
      </c>
      <c r="AL30" s="57">
        <v>0</v>
      </c>
      <c r="AM30" s="57">
        <v>0</v>
      </c>
      <c r="AN30" s="57">
        <v>0</v>
      </c>
      <c r="AO30" s="57">
        <v>0</v>
      </c>
      <c r="AP30" s="57">
        <v>0</v>
      </c>
      <c r="AQ30" s="57">
        <v>0</v>
      </c>
      <c r="AR30" s="57">
        <v>0</v>
      </c>
    </row>
    <row r="31" spans="2:44" x14ac:dyDescent="0.25">
      <c r="B31" t="s">
        <v>66</v>
      </c>
      <c r="C31" s="55">
        <f>SUMIFS(I31:AR31,I3:AR3,C3)</f>
        <v>5940</v>
      </c>
      <c r="D31" s="55">
        <f>SUMIFS(I31:AR31,I3:AR3,D3)</f>
        <v>4500</v>
      </c>
      <c r="E31" s="55">
        <f>SUMIFS(I31:AR31,I3:AR3,E3)</f>
        <v>3060</v>
      </c>
      <c r="G31" s="56" t="s">
        <v>67</v>
      </c>
      <c r="I31" s="57">
        <v>550</v>
      </c>
      <c r="J31" s="57">
        <v>540</v>
      </c>
      <c r="K31" s="57">
        <v>530</v>
      </c>
      <c r="L31" s="57">
        <v>520</v>
      </c>
      <c r="M31" s="57">
        <v>510</v>
      </c>
      <c r="N31" s="57">
        <v>500</v>
      </c>
      <c r="O31" s="57">
        <v>490</v>
      </c>
      <c r="P31" s="57">
        <v>480</v>
      </c>
      <c r="Q31" s="57">
        <v>470</v>
      </c>
      <c r="R31" s="57">
        <v>460</v>
      </c>
      <c r="S31" s="57">
        <v>450</v>
      </c>
      <c r="T31" s="57">
        <v>440</v>
      </c>
      <c r="U31" s="57">
        <v>430</v>
      </c>
      <c r="V31" s="57">
        <v>420</v>
      </c>
      <c r="W31" s="57">
        <v>410</v>
      </c>
      <c r="X31" s="57">
        <v>400</v>
      </c>
      <c r="Y31" s="57">
        <v>390</v>
      </c>
      <c r="Z31" s="57">
        <v>380</v>
      </c>
      <c r="AA31" s="57">
        <v>370</v>
      </c>
      <c r="AB31" s="57">
        <v>360</v>
      </c>
      <c r="AC31" s="57">
        <v>350</v>
      </c>
      <c r="AD31" s="57">
        <v>340</v>
      </c>
      <c r="AE31" s="57">
        <v>330</v>
      </c>
      <c r="AF31" s="57">
        <v>320</v>
      </c>
      <c r="AG31" s="57">
        <v>310</v>
      </c>
      <c r="AH31" s="57">
        <v>300</v>
      </c>
      <c r="AI31" s="57">
        <v>290</v>
      </c>
      <c r="AJ31" s="57">
        <v>280</v>
      </c>
      <c r="AK31" s="57">
        <v>270</v>
      </c>
      <c r="AL31" s="57">
        <v>260</v>
      </c>
      <c r="AM31" s="57">
        <v>250</v>
      </c>
      <c r="AN31" s="57">
        <v>240</v>
      </c>
      <c r="AO31" s="57">
        <v>230</v>
      </c>
      <c r="AP31" s="57">
        <v>220</v>
      </c>
      <c r="AQ31" s="57">
        <v>210</v>
      </c>
      <c r="AR31" s="57">
        <v>200</v>
      </c>
    </row>
    <row r="32" spans="2:44" x14ac:dyDescent="0.25">
      <c r="B32" t="s">
        <v>68</v>
      </c>
      <c r="C32" s="59">
        <v>0.25</v>
      </c>
      <c r="D32" s="64"/>
      <c r="E32" s="64"/>
      <c r="I32" s="58">
        <f>C32</f>
        <v>0.25</v>
      </c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</row>
    <row r="34" spans="2:44" x14ac:dyDescent="0.25">
      <c r="B34" s="50" t="s">
        <v>69</v>
      </c>
    </row>
    <row r="36" spans="2:44" x14ac:dyDescent="0.25">
      <c r="B36" t="s">
        <v>70</v>
      </c>
      <c r="C36" s="59">
        <v>0.2</v>
      </c>
      <c r="D36" s="64"/>
      <c r="E36" s="64"/>
      <c r="I36" s="58">
        <f>C36</f>
        <v>0.2</v>
      </c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</row>
    <row r="37" spans="2:44" x14ac:dyDescent="0.25">
      <c r="B37" t="s">
        <v>71</v>
      </c>
      <c r="C37" s="59">
        <v>0.6</v>
      </c>
      <c r="D37" s="64"/>
      <c r="E37" s="64"/>
      <c r="G37" s="56" t="s">
        <v>72</v>
      </c>
      <c r="I37" s="58">
        <f>C37</f>
        <v>0.6</v>
      </c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</row>
    <row r="38" spans="2:44" x14ac:dyDescent="0.25">
      <c r="B38" t="s">
        <v>73</v>
      </c>
      <c r="C38" s="55">
        <f>SUMIFS(I38:AR38,I3:AR3,C3)</f>
        <v>30000</v>
      </c>
      <c r="D38" s="55">
        <f>SUMIFS(I38:AR38,I3:AR3,D3)</f>
        <v>30000</v>
      </c>
      <c r="E38" s="55">
        <f>SUMIFS(I38:AR38,I3:AR3,E3)</f>
        <v>30000</v>
      </c>
      <c r="G38" s="56" t="s">
        <v>74</v>
      </c>
      <c r="I38" s="57">
        <v>2500</v>
      </c>
      <c r="J38" s="57">
        <v>2500</v>
      </c>
      <c r="K38" s="57">
        <v>2500</v>
      </c>
      <c r="L38" s="57">
        <v>2500</v>
      </c>
      <c r="M38" s="57">
        <v>2500</v>
      </c>
      <c r="N38" s="57">
        <v>2500</v>
      </c>
      <c r="O38" s="57">
        <v>2500</v>
      </c>
      <c r="P38" s="57">
        <v>2500</v>
      </c>
      <c r="Q38" s="57">
        <v>2500</v>
      </c>
      <c r="R38" s="57">
        <v>2500</v>
      </c>
      <c r="S38" s="57">
        <v>2500</v>
      </c>
      <c r="T38" s="57">
        <v>2500</v>
      </c>
      <c r="U38" s="57">
        <v>2500</v>
      </c>
      <c r="V38" s="57">
        <v>2500</v>
      </c>
      <c r="W38" s="57">
        <v>2500</v>
      </c>
      <c r="X38" s="57">
        <v>2500</v>
      </c>
      <c r="Y38" s="57">
        <v>2500</v>
      </c>
      <c r="Z38" s="57">
        <v>2500</v>
      </c>
      <c r="AA38" s="57">
        <v>2500</v>
      </c>
      <c r="AB38" s="57">
        <v>2500</v>
      </c>
      <c r="AC38" s="57">
        <v>2500</v>
      </c>
      <c r="AD38" s="57">
        <v>2500</v>
      </c>
      <c r="AE38" s="57">
        <v>2500</v>
      </c>
      <c r="AF38" s="57">
        <v>2500</v>
      </c>
      <c r="AG38" s="57">
        <v>2500</v>
      </c>
      <c r="AH38" s="57">
        <v>2500</v>
      </c>
      <c r="AI38" s="57">
        <v>2500</v>
      </c>
      <c r="AJ38" s="57">
        <v>2500</v>
      </c>
      <c r="AK38" s="57">
        <v>2500</v>
      </c>
      <c r="AL38" s="57">
        <v>2500</v>
      </c>
      <c r="AM38" s="57">
        <v>2500</v>
      </c>
      <c r="AN38" s="57">
        <v>2500</v>
      </c>
      <c r="AO38" s="57">
        <v>2500</v>
      </c>
      <c r="AP38" s="57">
        <v>2500</v>
      </c>
      <c r="AQ38" s="57">
        <v>2500</v>
      </c>
      <c r="AR38" s="57">
        <v>2500</v>
      </c>
    </row>
    <row r="39" spans="2:44" x14ac:dyDescent="0.25">
      <c r="B39" t="s">
        <v>75</v>
      </c>
      <c r="C39" s="55">
        <f>SUMIFS(I39:AR39,I3:AR3,C3)</f>
        <v>40000</v>
      </c>
      <c r="D39" s="55">
        <f>SUMIFS(I39:AR39,I3:AR3,D3)</f>
        <v>100000</v>
      </c>
      <c r="E39" s="55">
        <f>SUMIFS(I39:AR39,I3:AR3,E3)</f>
        <v>140000</v>
      </c>
      <c r="G39" s="56" t="s">
        <v>76</v>
      </c>
      <c r="I39" s="57">
        <v>0</v>
      </c>
      <c r="J39" s="57">
        <v>0</v>
      </c>
      <c r="K39" s="57">
        <v>20000</v>
      </c>
      <c r="L39" s="57">
        <v>0</v>
      </c>
      <c r="M39" s="57">
        <v>0</v>
      </c>
      <c r="N39" s="57">
        <v>20000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U39" s="57">
        <v>0</v>
      </c>
      <c r="V39" s="57">
        <v>0</v>
      </c>
      <c r="W39" s="57">
        <v>25000</v>
      </c>
      <c r="X39" s="57">
        <v>0</v>
      </c>
      <c r="Y39" s="57">
        <v>0</v>
      </c>
      <c r="Z39" s="57">
        <v>25000</v>
      </c>
      <c r="AA39" s="57">
        <v>0</v>
      </c>
      <c r="AB39" s="57">
        <v>0</v>
      </c>
      <c r="AC39" s="57">
        <v>25000</v>
      </c>
      <c r="AD39" s="57">
        <v>0</v>
      </c>
      <c r="AE39" s="57">
        <v>0</v>
      </c>
      <c r="AF39" s="57">
        <v>25000</v>
      </c>
      <c r="AG39" s="57">
        <v>0</v>
      </c>
      <c r="AH39" s="57">
        <v>0</v>
      </c>
      <c r="AI39" s="57">
        <v>35000</v>
      </c>
      <c r="AJ39" s="57">
        <v>0</v>
      </c>
      <c r="AK39" s="57">
        <v>0</v>
      </c>
      <c r="AL39" s="57">
        <v>35000</v>
      </c>
      <c r="AM39" s="57">
        <v>0</v>
      </c>
      <c r="AN39" s="57">
        <v>0</v>
      </c>
      <c r="AO39" s="57">
        <v>35000</v>
      </c>
      <c r="AP39" s="57">
        <v>0</v>
      </c>
      <c r="AQ39" s="57">
        <v>0</v>
      </c>
      <c r="AR39" s="57">
        <v>35000</v>
      </c>
    </row>
    <row r="40" spans="2:44" x14ac:dyDescent="0.25">
      <c r="B40" t="s">
        <v>77</v>
      </c>
      <c r="C40" s="55">
        <f>SUMIFS(I40:AR40,I3:AR3,C3)</f>
        <v>261600</v>
      </c>
      <c r="D40" s="55">
        <f>SUMIFS(I40:AR40,I3:AR3,D3)</f>
        <v>0</v>
      </c>
      <c r="E40" s="55">
        <f>SUMIFS(I40:AR40,I3:AR3,E3)</f>
        <v>0</v>
      </c>
      <c r="G40" s="56" t="s">
        <v>78</v>
      </c>
      <c r="I40" s="57">
        <v>161600</v>
      </c>
      <c r="J40" s="57">
        <v>100000</v>
      </c>
      <c r="K40" s="57">
        <v>0</v>
      </c>
      <c r="L40" s="57">
        <v>0</v>
      </c>
      <c r="M40" s="57">
        <v>0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7">
        <v>0</v>
      </c>
      <c r="W40" s="57">
        <v>0</v>
      </c>
      <c r="X40" s="57">
        <v>0</v>
      </c>
      <c r="Y40" s="57">
        <v>0</v>
      </c>
      <c r="Z40" s="57">
        <v>0</v>
      </c>
      <c r="AA40" s="57">
        <v>0</v>
      </c>
      <c r="AB40" s="57">
        <v>0</v>
      </c>
      <c r="AC40" s="57">
        <v>0</v>
      </c>
      <c r="AD40" s="57">
        <v>0</v>
      </c>
      <c r="AE40" s="57">
        <v>0</v>
      </c>
      <c r="AF40" s="57">
        <v>0</v>
      </c>
      <c r="AG40" s="57">
        <v>0</v>
      </c>
      <c r="AH40" s="57">
        <v>0</v>
      </c>
      <c r="AI40" s="57">
        <v>0</v>
      </c>
      <c r="AJ40" s="57">
        <v>0</v>
      </c>
      <c r="AK40" s="57">
        <v>0</v>
      </c>
      <c r="AL40" s="57">
        <v>0</v>
      </c>
      <c r="AM40" s="57">
        <v>0</v>
      </c>
      <c r="AN40" s="57">
        <v>0</v>
      </c>
      <c r="AO40" s="57">
        <v>0</v>
      </c>
      <c r="AP40" s="57">
        <v>0</v>
      </c>
      <c r="AQ40" s="57">
        <v>0</v>
      </c>
      <c r="AR40" s="57">
        <v>0</v>
      </c>
    </row>
    <row r="41" spans="2:44" x14ac:dyDescent="0.25">
      <c r="B41" t="s">
        <v>79</v>
      </c>
      <c r="C41" s="55">
        <f>SUMIFS(I41:AR41,I3:AR3,C3)</f>
        <v>-54000</v>
      </c>
      <c r="D41" s="55">
        <f>SUMIFS(I41:AR41,I3:AR3,D3)</f>
        <v>0</v>
      </c>
      <c r="E41" s="55">
        <f>SUMIFS(I41:AR41,I3:AR3,E3)</f>
        <v>0</v>
      </c>
      <c r="G41" s="56" t="s">
        <v>80</v>
      </c>
      <c r="I41" s="57">
        <v>-54000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U41" s="57">
        <v>0</v>
      </c>
      <c r="V41" s="57">
        <v>0</v>
      </c>
      <c r="W41" s="57">
        <v>0</v>
      </c>
      <c r="X41" s="57">
        <v>0</v>
      </c>
      <c r="Y41" s="57">
        <v>0</v>
      </c>
      <c r="Z41" s="57">
        <v>0</v>
      </c>
      <c r="AA41" s="57">
        <v>0</v>
      </c>
      <c r="AB41" s="57">
        <v>0</v>
      </c>
      <c r="AC41" s="57">
        <v>0</v>
      </c>
      <c r="AD41" s="57">
        <v>0</v>
      </c>
      <c r="AE41" s="57">
        <v>0</v>
      </c>
      <c r="AF41" s="57">
        <v>0</v>
      </c>
      <c r="AG41" s="57">
        <v>0</v>
      </c>
      <c r="AH41" s="57">
        <v>0</v>
      </c>
      <c r="AI41" s="57">
        <v>0</v>
      </c>
      <c r="AJ41" s="57">
        <v>0</v>
      </c>
      <c r="AK41" s="57">
        <v>0</v>
      </c>
      <c r="AL41" s="57">
        <v>0</v>
      </c>
      <c r="AM41" s="57">
        <v>0</v>
      </c>
      <c r="AN41" s="57">
        <v>0</v>
      </c>
      <c r="AO41" s="57">
        <v>0</v>
      </c>
      <c r="AP41" s="57">
        <v>0</v>
      </c>
      <c r="AQ41" s="57">
        <v>0</v>
      </c>
      <c r="AR41" s="5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1"/>
  </sheetPr>
  <dimension ref="A2:AR20"/>
  <sheetViews>
    <sheetView workbookViewId="0" showGridLines="0" zoomScale="120">
      <pane xSplit="2" ySplit="3" topLeftCell="C4" activePane="bottomRight" state="frozen"/>
      <selection pane="bottomRight"/>
    </sheetView>
  </sheetViews>
  <sheetFormatPr defaultRowHeight="15" outlineLevelRow="0" outlineLevelCol="0" x14ac:dyDescent="55"/>
  <cols>
    <col min="1" max="1" width="2" customWidth="1"/>
    <col min="2" max="2" width="30" customWidth="1"/>
    <col min="3" max="5" width="15" customWidth="1"/>
    <col min="6" max="6" width="3" customWidth="1"/>
    <col min="7" max="7" width="40" customWidth="1"/>
    <col min="8" max="8" width="3" customWidth="1"/>
    <col min="9" max="44" width="12" customWidth="1"/>
  </cols>
  <sheetData>
    <row r="2" spans="1:44" s="50" customFormat="1" x14ac:dyDescent="0.25">
      <c r="A2" s="50" t="s">
        <v>34</v>
      </c>
      <c r="B2" s="51" t="s">
        <v>5</v>
      </c>
      <c r="C2" s="52">
        <v>46387</v>
      </c>
      <c r="D2" s="52">
        <v>46752</v>
      </c>
      <c r="E2" s="52">
        <v>47118</v>
      </c>
      <c r="F2" s="50" t="s">
        <v>34</v>
      </c>
      <c r="G2" s="53" t="s">
        <v>35</v>
      </c>
      <c r="H2" s="50" t="s">
        <v>34</v>
      </c>
      <c r="I2" s="54">
        <v>46053</v>
      </c>
      <c r="J2" s="54">
        <v>46081</v>
      </c>
      <c r="K2" s="54">
        <v>46112</v>
      </c>
      <c r="L2" s="54">
        <v>46142</v>
      </c>
      <c r="M2" s="54">
        <v>46173</v>
      </c>
      <c r="N2" s="54">
        <v>46203</v>
      </c>
      <c r="O2" s="54">
        <v>46234</v>
      </c>
      <c r="P2" s="54">
        <v>46265</v>
      </c>
      <c r="Q2" s="54">
        <v>46295</v>
      </c>
      <c r="R2" s="54">
        <v>46326</v>
      </c>
      <c r="S2" s="54">
        <v>46356</v>
      </c>
      <c r="T2" s="54">
        <v>46387</v>
      </c>
      <c r="U2" s="54">
        <v>46418</v>
      </c>
      <c r="V2" s="54">
        <v>46446</v>
      </c>
      <c r="W2" s="54">
        <v>46477</v>
      </c>
      <c r="X2" s="54">
        <v>46507</v>
      </c>
      <c r="Y2" s="54">
        <v>46538</v>
      </c>
      <c r="Z2" s="54">
        <v>46568</v>
      </c>
      <c r="AA2" s="54">
        <v>46599</v>
      </c>
      <c r="AB2" s="54">
        <v>46630</v>
      </c>
      <c r="AC2" s="54">
        <v>46660</v>
      </c>
      <c r="AD2" s="54">
        <v>46691</v>
      </c>
      <c r="AE2" s="54">
        <v>46721</v>
      </c>
      <c r="AF2" s="54">
        <v>46752</v>
      </c>
      <c r="AG2" s="54">
        <v>46783</v>
      </c>
      <c r="AH2" s="54">
        <v>46812</v>
      </c>
      <c r="AI2" s="54">
        <v>46843</v>
      </c>
      <c r="AJ2" s="54">
        <v>46873</v>
      </c>
      <c r="AK2" s="54">
        <v>46904</v>
      </c>
      <c r="AL2" s="54">
        <v>46934</v>
      </c>
      <c r="AM2" s="54">
        <v>46965</v>
      </c>
      <c r="AN2" s="54">
        <v>46996</v>
      </c>
      <c r="AO2" s="54">
        <v>47026</v>
      </c>
      <c r="AP2" s="54">
        <v>47057</v>
      </c>
      <c r="AQ2" s="54">
        <v>47087</v>
      </c>
      <c r="AR2" s="54">
        <v>47118</v>
      </c>
    </row>
    <row r="3" hidden="1" spans="2:44" x14ac:dyDescent="0.25" outlineLevel="1" collapsed="1">
      <c r="B3" t="s">
        <v>36</v>
      </c>
      <c r="C3">
        <v>1</v>
      </c>
      <c r="D3">
        <v>2</v>
      </c>
      <c r="E3">
        <v>3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2</v>
      </c>
      <c r="V3">
        <v>2</v>
      </c>
      <c r="W3">
        <v>2</v>
      </c>
      <c r="X3">
        <v>2</v>
      </c>
      <c r="Y3">
        <v>2</v>
      </c>
      <c r="Z3">
        <v>2</v>
      </c>
      <c r="AA3">
        <v>2</v>
      </c>
      <c r="AB3">
        <v>2</v>
      </c>
      <c r="AC3">
        <v>2</v>
      </c>
      <c r="AD3">
        <v>2</v>
      </c>
      <c r="AE3">
        <v>2</v>
      </c>
      <c r="AF3">
        <v>2</v>
      </c>
      <c r="AG3">
        <v>3</v>
      </c>
      <c r="AH3">
        <v>3</v>
      </c>
      <c r="AI3">
        <v>3</v>
      </c>
      <c r="AJ3">
        <v>3</v>
      </c>
      <c r="AK3">
        <v>3</v>
      </c>
      <c r="AL3">
        <v>3</v>
      </c>
      <c r="AM3">
        <v>3</v>
      </c>
      <c r="AN3">
        <v>3</v>
      </c>
      <c r="AO3">
        <v>3</v>
      </c>
      <c r="AP3">
        <v>3</v>
      </c>
      <c r="AQ3">
        <v>3</v>
      </c>
      <c r="AR3">
        <v>3</v>
      </c>
    </row>
    <row r="4" spans="2:44" x14ac:dyDescent="0.25">
      <c r="B4" t="s">
        <v>19</v>
      </c>
      <c r="C4" s="55">
        <f>SUMIFS(I4:AR4,I3:AR3,C3)</f>
        <v>543000</v>
      </c>
      <c r="D4" s="55">
        <f>SUMIFS(I4:AR4,I3:AR3,D3)</f>
        <v>792000</v>
      </c>
      <c r="E4" s="55">
        <f>SUMIFS(I4:AR4,I3:AR3,E3)</f>
        <v>1113000</v>
      </c>
      <c r="G4" s="56" t="s">
        <v>81</v>
      </c>
      <c r="I4" s="55">
        <f>'Hypothèses'!I7 * (1 + 'Hypothèses'!I8)</f>
        <v>37000</v>
      </c>
      <c r="J4" s="55">
        <f>'Hypothèses'!J7 * (1 + 'Hypothèses'!J8)</f>
        <v>38500</v>
      </c>
      <c r="K4" s="55">
        <f>'Hypothèses'!K7 * (1 + 'Hypothèses'!K8)</f>
        <v>40000</v>
      </c>
      <c r="L4" s="55">
        <f>'Hypothèses'!L7 * (1 + 'Hypothèses'!L8)</f>
        <v>41500</v>
      </c>
      <c r="M4" s="55">
        <f>'Hypothèses'!M7 * (1 + 'Hypothèses'!M8)</f>
        <v>43000</v>
      </c>
      <c r="N4" s="55">
        <f>'Hypothèses'!N7 * (1 + 'Hypothèses'!N8)</f>
        <v>44500</v>
      </c>
      <c r="O4" s="55">
        <f>'Hypothèses'!O7 * (1 + 'Hypothèses'!O8)</f>
        <v>46000</v>
      </c>
      <c r="P4" s="55">
        <f>'Hypothèses'!P7 * (1 + 'Hypothèses'!P8)</f>
        <v>47500</v>
      </c>
      <c r="Q4" s="55">
        <f>'Hypothèses'!Q7 * (1 + 'Hypothèses'!Q8)</f>
        <v>49000</v>
      </c>
      <c r="R4" s="55">
        <f>'Hypothèses'!R7 * (1 + 'Hypothèses'!R8)</f>
        <v>50500</v>
      </c>
      <c r="S4" s="55">
        <f>'Hypothèses'!S7 * (1 + 'Hypothèses'!S8)</f>
        <v>52000</v>
      </c>
      <c r="T4" s="55">
        <f>'Hypothèses'!T7 * (1 + 'Hypothèses'!T8)</f>
        <v>53500</v>
      </c>
      <c r="U4" s="55">
        <f>'Hypothèses'!U7 * (1 + 'Hypothèses'!U8)</f>
        <v>55000</v>
      </c>
      <c r="V4" s="55">
        <f>'Hypothèses'!V7 * (1 + 'Hypothèses'!V8)</f>
        <v>57000</v>
      </c>
      <c r="W4" s="55">
        <f>'Hypothèses'!W7 * (1 + 'Hypothèses'!W8)</f>
        <v>59000</v>
      </c>
      <c r="X4" s="55">
        <f>'Hypothèses'!X7 * (1 + 'Hypothèses'!X8)</f>
        <v>61000</v>
      </c>
      <c r="Y4" s="55">
        <f>'Hypothèses'!Y7 * (1 + 'Hypothèses'!Y8)</f>
        <v>63000</v>
      </c>
      <c r="Z4" s="55">
        <f>'Hypothèses'!Z7 * (1 + 'Hypothèses'!Z8)</f>
        <v>65000</v>
      </c>
      <c r="AA4" s="55">
        <f>'Hypothèses'!AA7 * (1 + 'Hypothèses'!AA8)</f>
        <v>67000</v>
      </c>
      <c r="AB4" s="55">
        <f>'Hypothèses'!AB7 * (1 + 'Hypothèses'!AB8)</f>
        <v>69000</v>
      </c>
      <c r="AC4" s="55">
        <f>'Hypothèses'!AC7 * (1 + 'Hypothèses'!AC8)</f>
        <v>71000</v>
      </c>
      <c r="AD4" s="55">
        <f>'Hypothèses'!AD7 * (1 + 'Hypothèses'!AD8)</f>
        <v>73000</v>
      </c>
      <c r="AE4" s="55">
        <f>'Hypothèses'!AE7 * (1 + 'Hypothèses'!AE8)</f>
        <v>75000</v>
      </c>
      <c r="AF4" s="55">
        <f>'Hypothèses'!AF7 * (1 + 'Hypothèses'!AF8)</f>
        <v>77000</v>
      </c>
      <c r="AG4" s="55">
        <f>'Hypothèses'!AG7 * (1 + 'Hypothèses'!AG8)</f>
        <v>79000</v>
      </c>
      <c r="AH4" s="55">
        <f>'Hypothèses'!AH7 * (1 + 'Hypothèses'!AH8)</f>
        <v>81500</v>
      </c>
      <c r="AI4" s="55">
        <f>'Hypothèses'!AI7 * (1 + 'Hypothèses'!AI8)</f>
        <v>84000</v>
      </c>
      <c r="AJ4" s="55">
        <f>'Hypothèses'!AJ7 * (1 + 'Hypothèses'!AJ8)</f>
        <v>86500</v>
      </c>
      <c r="AK4" s="55">
        <f>'Hypothèses'!AK7 * (1 + 'Hypothèses'!AK8)</f>
        <v>89000</v>
      </c>
      <c r="AL4" s="55">
        <f>'Hypothèses'!AL7 * (1 + 'Hypothèses'!AL8)</f>
        <v>91500</v>
      </c>
      <c r="AM4" s="55">
        <f>'Hypothèses'!AM7 * (1 + 'Hypothèses'!AM8)</f>
        <v>94000</v>
      </c>
      <c r="AN4" s="55">
        <f>'Hypothèses'!AN7 * (1 + 'Hypothèses'!AN8)</f>
        <v>96500</v>
      </c>
      <c r="AO4" s="55">
        <f>'Hypothèses'!AO7 * (1 + 'Hypothèses'!AO8)</f>
        <v>99000</v>
      </c>
      <c r="AP4" s="55">
        <f>'Hypothèses'!AP7 * (1 + 'Hypothèses'!AP8)</f>
        <v>101500</v>
      </c>
      <c r="AQ4" s="55">
        <f>'Hypothèses'!AQ7 * (1 + 'Hypothèses'!AQ8)</f>
        <v>104000</v>
      </c>
      <c r="AR4" s="55">
        <f>'Hypothèses'!AR7 * (1 + 'Hypothèses'!AR8)</f>
        <v>106500</v>
      </c>
    </row>
    <row r="5" spans="2:44" x14ac:dyDescent="0.25">
      <c r="B5" t="s">
        <v>24</v>
      </c>
      <c r="C5" s="55">
        <f>SUMIFS(I5:AR5,I3:AR3,C3)</f>
        <v>1497000</v>
      </c>
      <c r="D5" s="55">
        <f>SUMIFS(I5:AR5,I3:AR3,D3)</f>
        <v>1760850</v>
      </c>
      <c r="E5" s="55">
        <f>SUMIFS(I5:AR5,I3:AR3,E3)</f>
        <v>2031700</v>
      </c>
      <c r="G5" s="56" t="s">
        <v>82</v>
      </c>
      <c r="I5" s="55">
        <f>'Hypothèses'!I12 * 'Hypothèses'!I13</f>
        <v>113000</v>
      </c>
      <c r="J5" s="55">
        <f>'Hypothèses'!J12 * 'Hypothèses'!J13</f>
        <v>121500</v>
      </c>
      <c r="K5" s="55">
        <f>'Hypothèses'!K12 * 'Hypothèses'!K13</f>
        <v>140000</v>
      </c>
      <c r="L5" s="55">
        <f>'Hypothèses'!L12 * 'Hypothèses'!L13</f>
        <v>128500</v>
      </c>
      <c r="M5" s="55">
        <f>'Hypothèses'!M12 * 'Hypothèses'!M13</f>
        <v>132000</v>
      </c>
      <c r="N5" s="55">
        <f>'Hypothèses'!N12 * 'Hypothèses'!N13</f>
        <v>140500</v>
      </c>
      <c r="O5" s="55">
        <f>'Hypothèses'!O12 * 'Hypothèses'!O13</f>
        <v>104000</v>
      </c>
      <c r="P5" s="55">
        <f>'Hypothèses'!P12 * 'Hypothèses'!P13</f>
        <v>52500</v>
      </c>
      <c r="Q5" s="55">
        <f>'Hypothèses'!Q12 * 'Hypothèses'!Q13</f>
        <v>131000</v>
      </c>
      <c r="R5" s="55">
        <f>'Hypothèses'!R12 * 'Hypothèses'!R13</f>
        <v>144500</v>
      </c>
      <c r="S5" s="55">
        <f>'Hypothèses'!S12 * 'Hypothèses'!S13</f>
        <v>148000</v>
      </c>
      <c r="T5" s="55">
        <f>'Hypothèses'!T12 * 'Hypothèses'!T13</f>
        <v>141500</v>
      </c>
      <c r="U5" s="55">
        <f>'Hypothèses'!U12 * 'Hypothèses'!U13</f>
        <v>133350</v>
      </c>
      <c r="V5" s="55">
        <f>'Hypothèses'!V12 * 'Hypothèses'!V13</f>
        <v>142800</v>
      </c>
      <c r="W5" s="55">
        <f>'Hypothèses'!W12 * 'Hypothèses'!W13</f>
        <v>164850</v>
      </c>
      <c r="X5" s="55">
        <f>'Hypothèses'!X12 * 'Hypothèses'!X13</f>
        <v>151200</v>
      </c>
      <c r="Y5" s="55">
        <f>'Hypothèses'!Y12 * 'Hypothèses'!Y13</f>
        <v>155400</v>
      </c>
      <c r="Z5" s="55">
        <f>'Hypothèses'!Z12 * 'Hypothèses'!Z13</f>
        <v>164850</v>
      </c>
      <c r="AA5" s="55">
        <f>'Hypothèses'!AA12 * 'Hypothèses'!AA13</f>
        <v>121800</v>
      </c>
      <c r="AB5" s="55">
        <f>'Hypothèses'!AB12 * 'Hypothèses'!AB13</f>
        <v>61950</v>
      </c>
      <c r="AC5" s="55">
        <f>'Hypothèses'!AC12 * 'Hypothèses'!AC13</f>
        <v>154350</v>
      </c>
      <c r="AD5" s="55">
        <f>'Hypothèses'!AD12 * 'Hypothèses'!AD13</f>
        <v>170100</v>
      </c>
      <c r="AE5" s="55">
        <f>'Hypothèses'!AE12 * 'Hypothèses'!AE13</f>
        <v>174300</v>
      </c>
      <c r="AF5" s="55">
        <f>'Hypothèses'!AF12 * 'Hypothèses'!AF13</f>
        <v>165900</v>
      </c>
      <c r="AG5" s="55">
        <f>'Hypothèses'!AG12 * 'Hypothèses'!AG13</f>
        <v>154000</v>
      </c>
      <c r="AH5" s="55">
        <f>'Hypothèses'!AH12 * 'Hypothèses'!AH13</f>
        <v>165000</v>
      </c>
      <c r="AI5" s="55">
        <f>'Hypothèses'!AI12 * 'Hypothèses'!AI13</f>
        <v>190300</v>
      </c>
      <c r="AJ5" s="55">
        <f>'Hypothèses'!AJ12 * 'Hypothèses'!AJ13</f>
        <v>173800</v>
      </c>
      <c r="AK5" s="55">
        <f>'Hypothèses'!AK12 * 'Hypothèses'!AK13</f>
        <v>179300</v>
      </c>
      <c r="AL5" s="55">
        <f>'Hypothèses'!AL12 * 'Hypothèses'!AL13</f>
        <v>190300</v>
      </c>
      <c r="AM5" s="55">
        <f>'Hypothèses'!AM12 * 'Hypothèses'!AM13</f>
        <v>140800</v>
      </c>
      <c r="AN5" s="55">
        <f>'Hypothèses'!AN12 * 'Hypothèses'!AN13</f>
        <v>71500</v>
      </c>
      <c r="AO5" s="55">
        <f>'Hypothèses'!AO12 * 'Hypothèses'!AO13</f>
        <v>178200</v>
      </c>
      <c r="AP5" s="55">
        <f>'Hypothèses'!AP12 * 'Hypothèses'!AP13</f>
        <v>195800</v>
      </c>
      <c r="AQ5" s="55">
        <f>'Hypothèses'!AQ12 * 'Hypothèses'!AQ13</f>
        <v>201300</v>
      </c>
      <c r="AR5" s="55">
        <f>'Hypothèses'!AR12 * 'Hypothèses'!AR13</f>
        <v>191400</v>
      </c>
    </row>
    <row r="6" spans="2:44" x14ac:dyDescent="0.25">
      <c r="B6" t="s">
        <v>47</v>
      </c>
      <c r="C6" s="65">
        <f>'Hypothèses'!C14</f>
        <v>22300</v>
      </c>
      <c r="D6" s="65">
        <f>'Hypothèses'!D14</f>
        <v>24600</v>
      </c>
      <c r="E6" s="65">
        <f>'Hypothèses'!E14</f>
        <v>26900</v>
      </c>
      <c r="I6" s="65">
        <f>'Hypothèses'!I14</f>
        <v>1800</v>
      </c>
      <c r="J6" s="65">
        <f>'Hypothèses'!J14</f>
        <v>1800</v>
      </c>
      <c r="K6" s="65">
        <f>'Hypothèses'!K14</f>
        <v>2000</v>
      </c>
      <c r="L6" s="65">
        <f>'Hypothèses'!L14</f>
        <v>1800</v>
      </c>
      <c r="M6" s="65">
        <f>'Hypothèses'!M14</f>
        <v>2000</v>
      </c>
      <c r="N6" s="65">
        <f>'Hypothèses'!N14</f>
        <v>2000</v>
      </c>
      <c r="O6" s="65">
        <f>'Hypothèses'!O14</f>
        <v>1500</v>
      </c>
      <c r="P6" s="65">
        <f>'Hypothèses'!P14</f>
        <v>1000</v>
      </c>
      <c r="Q6" s="65">
        <f>'Hypothèses'!Q14</f>
        <v>2000</v>
      </c>
      <c r="R6" s="65">
        <f>'Hypothèses'!R14</f>
        <v>2200</v>
      </c>
      <c r="S6" s="65">
        <f>'Hypothèses'!S14</f>
        <v>2200</v>
      </c>
      <c r="T6" s="65">
        <f>'Hypothèses'!T14</f>
        <v>2000</v>
      </c>
      <c r="U6" s="65">
        <f>'Hypothèses'!U14</f>
        <v>2000</v>
      </c>
      <c r="V6" s="65">
        <f>'Hypothèses'!V14</f>
        <v>2000</v>
      </c>
      <c r="W6" s="65">
        <f>'Hypothèses'!W14</f>
        <v>2200</v>
      </c>
      <c r="X6" s="65">
        <f>'Hypothèses'!X14</f>
        <v>2000</v>
      </c>
      <c r="Y6" s="65">
        <f>'Hypothèses'!Y14</f>
        <v>2200</v>
      </c>
      <c r="Z6" s="65">
        <f>'Hypothèses'!Z14</f>
        <v>2200</v>
      </c>
      <c r="AA6" s="65">
        <f>'Hypothèses'!AA14</f>
        <v>1700</v>
      </c>
      <c r="AB6" s="65">
        <f>'Hypothèses'!AB14</f>
        <v>1100</v>
      </c>
      <c r="AC6" s="65">
        <f>'Hypothèses'!AC14</f>
        <v>2200</v>
      </c>
      <c r="AD6" s="65">
        <f>'Hypothèses'!AD14</f>
        <v>2400</v>
      </c>
      <c r="AE6" s="65">
        <f>'Hypothèses'!AE14</f>
        <v>2400</v>
      </c>
      <c r="AF6" s="65">
        <f>'Hypothèses'!AF14</f>
        <v>2200</v>
      </c>
      <c r="AG6" s="65">
        <f>'Hypothèses'!AG14</f>
        <v>2200</v>
      </c>
      <c r="AH6" s="65">
        <f>'Hypothèses'!AH14</f>
        <v>2200</v>
      </c>
      <c r="AI6" s="65">
        <f>'Hypothèses'!AI14</f>
        <v>2400</v>
      </c>
      <c r="AJ6" s="65">
        <f>'Hypothèses'!AJ14</f>
        <v>2200</v>
      </c>
      <c r="AK6" s="65">
        <f>'Hypothèses'!AK14</f>
        <v>2400</v>
      </c>
      <c r="AL6" s="65">
        <f>'Hypothèses'!AL14</f>
        <v>2400</v>
      </c>
      <c r="AM6" s="65">
        <f>'Hypothèses'!AM14</f>
        <v>1900</v>
      </c>
      <c r="AN6" s="65">
        <f>'Hypothèses'!AN14</f>
        <v>1200</v>
      </c>
      <c r="AO6" s="65">
        <f>'Hypothèses'!AO14</f>
        <v>2400</v>
      </c>
      <c r="AP6" s="65">
        <f>'Hypothèses'!AP14</f>
        <v>2600</v>
      </c>
      <c r="AQ6" s="65">
        <f>'Hypothèses'!AQ14</f>
        <v>2600</v>
      </c>
      <c r="AR6" s="65">
        <f>'Hypothèses'!AR14</f>
        <v>2400</v>
      </c>
    </row>
    <row r="7" spans="2:44" x14ac:dyDescent="0.25">
      <c r="B7" s="50" t="s">
        <v>83</v>
      </c>
      <c r="C7" s="66">
        <f>SUMIFS(I7:AR7,I3:AR3,C3)</f>
        <v>2062300</v>
      </c>
      <c r="D7" s="66">
        <f>SUMIFS(I7:AR7,I3:AR3,D3)</f>
        <v>2577450</v>
      </c>
      <c r="E7" s="66">
        <f>SUMIFS(I7:AR7,I3:AR3,E3)</f>
        <v>3171600</v>
      </c>
      <c r="I7" s="66">
        <f>I4 + I5 + 'Hypothèses'!I14</f>
        <v>151800</v>
      </c>
      <c r="J7" s="66">
        <f>J4 + J5 + 'Hypothèses'!J14</f>
        <v>161800</v>
      </c>
      <c r="K7" s="66">
        <f>K4 + K5 + 'Hypothèses'!K14</f>
        <v>182000</v>
      </c>
      <c r="L7" s="66">
        <f>L4 + L5 + 'Hypothèses'!L14</f>
        <v>171800</v>
      </c>
      <c r="M7" s="66">
        <f>M4 + M5 + 'Hypothèses'!M14</f>
        <v>177000</v>
      </c>
      <c r="N7" s="66">
        <f>N4 + N5 + 'Hypothèses'!N14</f>
        <v>187000</v>
      </c>
      <c r="O7" s="66">
        <f>O4 + O5 + 'Hypothèses'!O14</f>
        <v>151500</v>
      </c>
      <c r="P7" s="66">
        <f>P4 + P5 + 'Hypothèses'!P14</f>
        <v>101000</v>
      </c>
      <c r="Q7" s="66">
        <f>Q4 + Q5 + 'Hypothèses'!Q14</f>
        <v>182000</v>
      </c>
      <c r="R7" s="66">
        <f>R4 + R5 + 'Hypothèses'!R14</f>
        <v>197200</v>
      </c>
      <c r="S7" s="66">
        <f>S4 + S5 + 'Hypothèses'!S14</f>
        <v>202200</v>
      </c>
      <c r="T7" s="66">
        <f>T4 + T5 + 'Hypothèses'!T14</f>
        <v>197000</v>
      </c>
      <c r="U7" s="66">
        <f>U4 + U5 + 'Hypothèses'!U14</f>
        <v>190350</v>
      </c>
      <c r="V7" s="66">
        <f>V4 + V5 + 'Hypothèses'!V14</f>
        <v>201800</v>
      </c>
      <c r="W7" s="66">
        <f>W4 + W5 + 'Hypothèses'!W14</f>
        <v>226050</v>
      </c>
      <c r="X7" s="66">
        <f>X4 + X5 + 'Hypothèses'!X14</f>
        <v>214200</v>
      </c>
      <c r="Y7" s="66">
        <f>Y4 + Y5 + 'Hypothèses'!Y14</f>
        <v>220600</v>
      </c>
      <c r="Z7" s="66">
        <f>Z4 + Z5 + 'Hypothèses'!Z14</f>
        <v>232050</v>
      </c>
      <c r="AA7" s="66">
        <f>AA4 + AA5 + 'Hypothèses'!AA14</f>
        <v>190500</v>
      </c>
      <c r="AB7" s="66">
        <f>AB4 + AB5 + 'Hypothèses'!AB14</f>
        <v>132050</v>
      </c>
      <c r="AC7" s="66">
        <f>AC4 + AC5 + 'Hypothèses'!AC14</f>
        <v>227550</v>
      </c>
      <c r="AD7" s="66">
        <f>AD4 + AD5 + 'Hypothèses'!AD14</f>
        <v>245500</v>
      </c>
      <c r="AE7" s="66">
        <f>AE4 + AE5 + 'Hypothèses'!AE14</f>
        <v>251700</v>
      </c>
      <c r="AF7" s="66">
        <f>AF4 + AF5 + 'Hypothèses'!AF14</f>
        <v>245100</v>
      </c>
      <c r="AG7" s="66">
        <f>AG4 + AG5 + 'Hypothèses'!AG14</f>
        <v>235200</v>
      </c>
      <c r="AH7" s="66">
        <f>AH4 + AH5 + 'Hypothèses'!AH14</f>
        <v>248700</v>
      </c>
      <c r="AI7" s="66">
        <f>AI4 + AI5 + 'Hypothèses'!AI14</f>
        <v>276700</v>
      </c>
      <c r="AJ7" s="66">
        <f>AJ4 + AJ5 + 'Hypothèses'!AJ14</f>
        <v>262500</v>
      </c>
      <c r="AK7" s="66">
        <f>AK4 + AK5 + 'Hypothèses'!AK14</f>
        <v>270700</v>
      </c>
      <c r="AL7" s="66">
        <f>AL4 + AL5 + 'Hypothèses'!AL14</f>
        <v>284200</v>
      </c>
      <c r="AM7" s="66">
        <f>AM4 + AM5 + 'Hypothèses'!AM14</f>
        <v>236700</v>
      </c>
      <c r="AN7" s="66">
        <f>AN4 + AN5 + 'Hypothèses'!AN14</f>
        <v>169200</v>
      </c>
      <c r="AO7" s="66">
        <f>AO4 + AO5 + 'Hypothèses'!AO14</f>
        <v>279600</v>
      </c>
      <c r="AP7" s="66">
        <f>AP4 + AP5 + 'Hypothèses'!AP14</f>
        <v>299900</v>
      </c>
      <c r="AQ7" s="66">
        <f>AQ4 + AQ5 + 'Hypothèses'!AQ14</f>
        <v>307900</v>
      </c>
      <c r="AR7" s="66">
        <f>AR4 + AR5 + 'Hypothèses'!AR14</f>
        <v>300300</v>
      </c>
    </row>
    <row r="8" spans="2:44" x14ac:dyDescent="0.25">
      <c r="B8" t="s">
        <v>84</v>
      </c>
      <c r="C8" s="55">
        <f>SUMIFS(I8:AR8,I3:AR3,C3)</f>
        <v>-164670</v>
      </c>
      <c r="D8" s="55">
        <f>SUMIFS(I8:AR8,I3:AR3,D3)</f>
        <v>-193693.5</v>
      </c>
      <c r="E8" s="55">
        <f>SUMIFS(I8:AR8,I3:AR3,E3)</f>
        <v>-213328.5</v>
      </c>
      <c r="I8" s="55">
        <f>-I5 * 'Hypothèses'!I23</f>
        <v>-12430</v>
      </c>
      <c r="J8" s="55">
        <f>-J5 * 'Hypothèses'!J23</f>
        <v>-13365</v>
      </c>
      <c r="K8" s="55">
        <f>-K5 * 'Hypothèses'!K23</f>
        <v>-15400</v>
      </c>
      <c r="L8" s="55">
        <f>-L5 * 'Hypothèses'!L23</f>
        <v>-14135</v>
      </c>
      <c r="M8" s="55">
        <f>-M5 * 'Hypothèses'!M23</f>
        <v>-14520</v>
      </c>
      <c r="N8" s="55">
        <f>-N5 * 'Hypothèses'!N23</f>
        <v>-15455</v>
      </c>
      <c r="O8" s="55">
        <f>-O5 * 'Hypothèses'!O23</f>
        <v>-11440</v>
      </c>
      <c r="P8" s="55">
        <f>-P5 * 'Hypothèses'!P23</f>
        <v>-5775</v>
      </c>
      <c r="Q8" s="55">
        <f>-Q5 * 'Hypothèses'!Q23</f>
        <v>-14410</v>
      </c>
      <c r="R8" s="55">
        <f>-R5 * 'Hypothèses'!R23</f>
        <v>-15895</v>
      </c>
      <c r="S8" s="55">
        <f>-S5 * 'Hypothèses'!S23</f>
        <v>-16280</v>
      </c>
      <c r="T8" s="55">
        <f>-T5 * 'Hypothèses'!T23</f>
        <v>-15565</v>
      </c>
      <c r="U8" s="55">
        <f>-U5 * 'Hypothèses'!U23</f>
        <v>-14668.5</v>
      </c>
      <c r="V8" s="55">
        <f>-V5 * 'Hypothèses'!V23</f>
        <v>-15708</v>
      </c>
      <c r="W8" s="55">
        <f>-W5 * 'Hypothèses'!W23</f>
        <v>-18133.5</v>
      </c>
      <c r="X8" s="55">
        <f>-X5 * 'Hypothèses'!X23</f>
        <v>-16632</v>
      </c>
      <c r="Y8" s="55">
        <f>-Y5 * 'Hypothèses'!Y23</f>
        <v>-17094</v>
      </c>
      <c r="Z8" s="55">
        <f>-Z5 * 'Hypothèses'!Z23</f>
        <v>-18133.5</v>
      </c>
      <c r="AA8" s="55">
        <f>-AA5 * 'Hypothèses'!AA23</f>
        <v>-13398</v>
      </c>
      <c r="AB8" s="55">
        <f>-AB5 * 'Hypothèses'!AB23</f>
        <v>-6814.5</v>
      </c>
      <c r="AC8" s="55">
        <f>-AC5 * 'Hypothèses'!AC23</f>
        <v>-16978.5</v>
      </c>
      <c r="AD8" s="55">
        <f>-AD5 * 'Hypothèses'!AD23</f>
        <v>-18711</v>
      </c>
      <c r="AE8" s="55">
        <f>-AE5 * 'Hypothèses'!AE23</f>
        <v>-19173</v>
      </c>
      <c r="AF8" s="55">
        <f>-AF5 * 'Hypothèses'!AF23</f>
        <v>-18249</v>
      </c>
      <c r="AG8" s="55">
        <f>-AG5 * 'Hypothèses'!AG23</f>
        <v>-16170</v>
      </c>
      <c r="AH8" s="55">
        <f>-AH5 * 'Hypothèses'!AH23</f>
        <v>-17325</v>
      </c>
      <c r="AI8" s="55">
        <f>-AI5 * 'Hypothèses'!AI23</f>
        <v>-19981.5</v>
      </c>
      <c r="AJ8" s="55">
        <f>-AJ5 * 'Hypothèses'!AJ23</f>
        <v>-18249</v>
      </c>
      <c r="AK8" s="55">
        <f>-AK5 * 'Hypothèses'!AK23</f>
        <v>-18826.5</v>
      </c>
      <c r="AL8" s="55">
        <f>-AL5 * 'Hypothèses'!AL23</f>
        <v>-19981.5</v>
      </c>
      <c r="AM8" s="55">
        <f>-AM5 * 'Hypothèses'!AM23</f>
        <v>-14784</v>
      </c>
      <c r="AN8" s="55">
        <f>-AN5 * 'Hypothèses'!AN23</f>
        <v>-7507.5</v>
      </c>
      <c r="AO8" s="55">
        <f>-AO5 * 'Hypothèses'!AO23</f>
        <v>-18711</v>
      </c>
      <c r="AP8" s="55">
        <f>-AP5 * 'Hypothèses'!AP23</f>
        <v>-20559</v>
      </c>
      <c r="AQ8" s="55">
        <f>-AQ5 * 'Hypothèses'!AQ23</f>
        <v>-21136.5</v>
      </c>
      <c r="AR8" s="55">
        <f>-AR5 * 'Hypothèses'!AR23</f>
        <v>-20097</v>
      </c>
    </row>
    <row r="9" spans="2:44" x14ac:dyDescent="0.25">
      <c r="B9" t="s">
        <v>85</v>
      </c>
      <c r="C9" s="55">
        <f>-'Hypothèses'!C24</f>
        <v>-294000</v>
      </c>
      <c r="D9" s="55">
        <f>-'Hypothèses'!D24</f>
        <v>-312000</v>
      </c>
      <c r="E9" s="55">
        <f>-'Hypothèses'!E24</f>
        <v>-336000</v>
      </c>
      <c r="I9" s="55">
        <f>-'Hypothèses'!I24</f>
        <v>-24500</v>
      </c>
      <c r="J9" s="55">
        <f>-'Hypothèses'!J24</f>
        <v>-24500</v>
      </c>
      <c r="K9" s="55">
        <f>-'Hypothèses'!K24</f>
        <v>-24500</v>
      </c>
      <c r="L9" s="55">
        <f>-'Hypothèses'!L24</f>
        <v>-24500</v>
      </c>
      <c r="M9" s="55">
        <f>-'Hypothèses'!M24</f>
        <v>-24500</v>
      </c>
      <c r="N9" s="55">
        <f>-'Hypothèses'!N24</f>
        <v>-24500</v>
      </c>
      <c r="O9" s="55">
        <f>-'Hypothèses'!O24</f>
        <v>-24500</v>
      </c>
      <c r="P9" s="55">
        <f>-'Hypothèses'!P24</f>
        <v>-24500</v>
      </c>
      <c r="Q9" s="55">
        <f>-'Hypothèses'!Q24</f>
        <v>-24500</v>
      </c>
      <c r="R9" s="55">
        <f>-'Hypothèses'!R24</f>
        <v>-24500</v>
      </c>
      <c r="S9" s="55">
        <f>-'Hypothèses'!S24</f>
        <v>-24500</v>
      </c>
      <c r="T9" s="55">
        <f>-'Hypothèses'!T24</f>
        <v>-24500</v>
      </c>
      <c r="U9" s="55">
        <f>-'Hypothèses'!U24</f>
        <v>-26000</v>
      </c>
      <c r="V9" s="55">
        <f>-'Hypothèses'!V24</f>
        <v>-26000</v>
      </c>
      <c r="W9" s="55">
        <f>-'Hypothèses'!W24</f>
        <v>-26000</v>
      </c>
      <c r="X9" s="55">
        <f>-'Hypothèses'!X24</f>
        <v>-26000</v>
      </c>
      <c r="Y9" s="55">
        <f>-'Hypothèses'!Y24</f>
        <v>-26000</v>
      </c>
      <c r="Z9" s="55">
        <f>-'Hypothèses'!Z24</f>
        <v>-26000</v>
      </c>
      <c r="AA9" s="55">
        <f>-'Hypothèses'!AA24</f>
        <v>-26000</v>
      </c>
      <c r="AB9" s="55">
        <f>-'Hypothèses'!AB24</f>
        <v>-26000</v>
      </c>
      <c r="AC9" s="55">
        <f>-'Hypothèses'!AC24</f>
        <v>-26000</v>
      </c>
      <c r="AD9" s="55">
        <f>-'Hypothèses'!AD24</f>
        <v>-26000</v>
      </c>
      <c r="AE9" s="55">
        <f>-'Hypothèses'!AE24</f>
        <v>-26000</v>
      </c>
      <c r="AF9" s="55">
        <f>-'Hypothèses'!AF24</f>
        <v>-26000</v>
      </c>
      <c r="AG9" s="55">
        <f>-'Hypothèses'!AG24</f>
        <v>-28000</v>
      </c>
      <c r="AH9" s="55">
        <f>-'Hypothèses'!AH24</f>
        <v>-28000</v>
      </c>
      <c r="AI9" s="55">
        <f>-'Hypothèses'!AI24</f>
        <v>-28000</v>
      </c>
      <c r="AJ9" s="55">
        <f>-'Hypothèses'!AJ24</f>
        <v>-28000</v>
      </c>
      <c r="AK9" s="55">
        <f>-'Hypothèses'!AK24</f>
        <v>-28000</v>
      </c>
      <c r="AL9" s="55">
        <f>-'Hypothèses'!AL24</f>
        <v>-28000</v>
      </c>
      <c r="AM9" s="55">
        <f>-'Hypothèses'!AM24</f>
        <v>-28000</v>
      </c>
      <c r="AN9" s="55">
        <f>-'Hypothèses'!AN24</f>
        <v>-28000</v>
      </c>
      <c r="AO9" s="55">
        <f>-'Hypothèses'!AO24</f>
        <v>-28000</v>
      </c>
      <c r="AP9" s="55">
        <f>-'Hypothèses'!AP24</f>
        <v>-28000</v>
      </c>
      <c r="AQ9" s="55">
        <f>-'Hypothèses'!AQ24</f>
        <v>-28000</v>
      </c>
      <c r="AR9" s="55">
        <f>-'Hypothèses'!AR24</f>
        <v>-28000</v>
      </c>
    </row>
    <row r="10" spans="2:44" x14ac:dyDescent="0.25">
      <c r="B10" t="s">
        <v>86</v>
      </c>
      <c r="C10" s="55">
        <f>SUMIFS(I10:AR10,I3:AR3,C3)</f>
        <v>-1200000</v>
      </c>
      <c r="D10" s="55">
        <f>SUMIFS(I10:AR10,I3:AR3,D3)</f>
        <v>-1500600</v>
      </c>
      <c r="E10" s="55">
        <f>SUMIFS(I10:AR10,I3:AR3,E3)</f>
        <v>-1814400</v>
      </c>
      <c r="I10" s="55">
        <f>-'Hypothèses'!I18 * 'Hypothèses'!I19</f>
        <v>-88000</v>
      </c>
      <c r="J10" s="55">
        <f>-'Hypothèses'!J18 * 'Hypothèses'!J19</f>
        <v>-88000</v>
      </c>
      <c r="K10" s="55">
        <f>-'Hypothèses'!K18 * 'Hypothèses'!K19</f>
        <v>-88000</v>
      </c>
      <c r="L10" s="55">
        <f>-'Hypothèses'!L18 * 'Hypothèses'!L19</f>
        <v>-96000</v>
      </c>
      <c r="M10" s="55">
        <f>-'Hypothèses'!M18 * 'Hypothèses'!M19</f>
        <v>-96000</v>
      </c>
      <c r="N10" s="55">
        <f>-'Hypothèses'!N18 * 'Hypothèses'!N19</f>
        <v>-96000</v>
      </c>
      <c r="O10" s="55">
        <f>-'Hypothèses'!O18 * 'Hypothèses'!O19</f>
        <v>-104000</v>
      </c>
      <c r="P10" s="55">
        <f>-'Hypothèses'!P18 * 'Hypothèses'!P19</f>
        <v>-104000</v>
      </c>
      <c r="Q10" s="55">
        <f>-'Hypothèses'!Q18 * 'Hypothèses'!Q19</f>
        <v>-104000</v>
      </c>
      <c r="R10" s="55">
        <f>-'Hypothèses'!R18 * 'Hypothèses'!R19</f>
        <v>-112000</v>
      </c>
      <c r="S10" s="55">
        <f>-'Hypothèses'!S18 * 'Hypothèses'!S19</f>
        <v>-112000</v>
      </c>
      <c r="T10" s="55">
        <f>-'Hypothèses'!T18 * 'Hypothèses'!T19</f>
        <v>-112000</v>
      </c>
      <c r="U10" s="55">
        <f>-'Hypothèses'!U18 * 'Hypothèses'!U19</f>
        <v>-114800</v>
      </c>
      <c r="V10" s="55">
        <f>-'Hypothèses'!V18 * 'Hypothèses'!V19</f>
        <v>-114800</v>
      </c>
      <c r="W10" s="55">
        <f>-'Hypothèses'!W18 * 'Hypothèses'!W19</f>
        <v>-114800</v>
      </c>
      <c r="X10" s="55">
        <f>-'Hypothèses'!X18 * 'Hypothèses'!X19</f>
        <v>-123000</v>
      </c>
      <c r="Y10" s="55">
        <f>-'Hypothèses'!Y18 * 'Hypothèses'!Y19</f>
        <v>-123000</v>
      </c>
      <c r="Z10" s="55">
        <f>-'Hypothèses'!Z18 * 'Hypothèses'!Z19</f>
        <v>-123000</v>
      </c>
      <c r="AA10" s="55">
        <f>-'Hypothèses'!AA18 * 'Hypothèses'!AA19</f>
        <v>-131200</v>
      </c>
      <c r="AB10" s="55">
        <f>-'Hypothèses'!AB18 * 'Hypothèses'!AB19</f>
        <v>-131200</v>
      </c>
      <c r="AC10" s="55">
        <f>-'Hypothèses'!AC18 * 'Hypothèses'!AC19</f>
        <v>-131200</v>
      </c>
      <c r="AD10" s="55">
        <f>-'Hypothèses'!AD18 * 'Hypothèses'!AD19</f>
        <v>-131200</v>
      </c>
      <c r="AE10" s="55">
        <f>-'Hypothèses'!AE18 * 'Hypothèses'!AE19</f>
        <v>-131200</v>
      </c>
      <c r="AF10" s="55">
        <f>-'Hypothèses'!AF18 * 'Hypothèses'!AF19</f>
        <v>-131200</v>
      </c>
      <c r="AG10" s="55">
        <f>-'Hypothèses'!AG18 * 'Hypothèses'!AG19</f>
        <v>-142800</v>
      </c>
      <c r="AH10" s="55">
        <f>-'Hypothèses'!AH18 * 'Hypothèses'!AH19</f>
        <v>-142800</v>
      </c>
      <c r="AI10" s="55">
        <f>-'Hypothèses'!AI18 * 'Hypothèses'!AI19</f>
        <v>-142800</v>
      </c>
      <c r="AJ10" s="55">
        <f>-'Hypothèses'!AJ18 * 'Hypothèses'!AJ19</f>
        <v>-151200</v>
      </c>
      <c r="AK10" s="55">
        <f>-'Hypothèses'!AK18 * 'Hypothèses'!AK19</f>
        <v>-151200</v>
      </c>
      <c r="AL10" s="55">
        <f>-'Hypothèses'!AL18 * 'Hypothèses'!AL19</f>
        <v>-151200</v>
      </c>
      <c r="AM10" s="55">
        <f>-'Hypothèses'!AM18 * 'Hypothèses'!AM19</f>
        <v>-151200</v>
      </c>
      <c r="AN10" s="55">
        <f>-'Hypothèses'!AN18 * 'Hypothèses'!AN19</f>
        <v>-151200</v>
      </c>
      <c r="AO10" s="55">
        <f>-'Hypothèses'!AO18 * 'Hypothèses'!AO19</f>
        <v>-151200</v>
      </c>
      <c r="AP10" s="55">
        <f>-'Hypothèses'!AP18 * 'Hypothèses'!AP19</f>
        <v>-159600</v>
      </c>
      <c r="AQ10" s="55">
        <f>-'Hypothèses'!AQ18 * 'Hypothèses'!AQ19</f>
        <v>-159600</v>
      </c>
      <c r="AR10" s="55">
        <f>-'Hypothèses'!AR18 * 'Hypothèses'!AR19</f>
        <v>-159600</v>
      </c>
    </row>
    <row r="11" spans="2:44" x14ac:dyDescent="0.25">
      <c r="B11" t="s">
        <v>87</v>
      </c>
      <c r="C11" s="55">
        <f>-'Hypothèses'!C25</f>
        <v>-12000</v>
      </c>
      <c r="D11" s="55">
        <f>-'Hypothèses'!D25</f>
        <v>-12000</v>
      </c>
      <c r="E11" s="55">
        <f>-'Hypothèses'!E25</f>
        <v>-12000</v>
      </c>
      <c r="I11" s="55">
        <f>-'Hypothèses'!I25</f>
        <v>-1000</v>
      </c>
      <c r="J11" s="55">
        <f>-'Hypothèses'!J25</f>
        <v>-1000</v>
      </c>
      <c r="K11" s="55">
        <f>-'Hypothèses'!K25</f>
        <v>-1000</v>
      </c>
      <c r="L11" s="55">
        <f>-'Hypothèses'!L25</f>
        <v>-1000</v>
      </c>
      <c r="M11" s="55">
        <f>-'Hypothèses'!M25</f>
        <v>-1000</v>
      </c>
      <c r="N11" s="55">
        <f>-'Hypothèses'!N25</f>
        <v>-1000</v>
      </c>
      <c r="O11" s="55">
        <f>-'Hypothèses'!O25</f>
        <v>-1000</v>
      </c>
      <c r="P11" s="55">
        <f>-'Hypothèses'!P25</f>
        <v>-1000</v>
      </c>
      <c r="Q11" s="55">
        <f>-'Hypothèses'!Q25</f>
        <v>-1000</v>
      </c>
      <c r="R11" s="55">
        <f>-'Hypothèses'!R25</f>
        <v>-1000</v>
      </c>
      <c r="S11" s="55">
        <f>-'Hypothèses'!S25</f>
        <v>-1000</v>
      </c>
      <c r="T11" s="55">
        <f>-'Hypothèses'!T25</f>
        <v>-1000</v>
      </c>
      <c r="U11" s="55">
        <f>-'Hypothèses'!U25</f>
        <v>-1000</v>
      </c>
      <c r="V11" s="55">
        <f>-'Hypothèses'!V25</f>
        <v>-1000</v>
      </c>
      <c r="W11" s="55">
        <f>-'Hypothèses'!W25</f>
        <v>-1000</v>
      </c>
      <c r="X11" s="55">
        <f>-'Hypothèses'!X25</f>
        <v>-1000</v>
      </c>
      <c r="Y11" s="55">
        <f>-'Hypothèses'!Y25</f>
        <v>-1000</v>
      </c>
      <c r="Z11" s="55">
        <f>-'Hypothèses'!Z25</f>
        <v>-1000</v>
      </c>
      <c r="AA11" s="55">
        <f>-'Hypothèses'!AA25</f>
        <v>-1000</v>
      </c>
      <c r="AB11" s="55">
        <f>-'Hypothèses'!AB25</f>
        <v>-1000</v>
      </c>
      <c r="AC11" s="55">
        <f>-'Hypothèses'!AC25</f>
        <v>-1000</v>
      </c>
      <c r="AD11" s="55">
        <f>-'Hypothèses'!AD25</f>
        <v>-1000</v>
      </c>
      <c r="AE11" s="55">
        <f>-'Hypothèses'!AE25</f>
        <v>-1000</v>
      </c>
      <c r="AF11" s="55">
        <f>-'Hypothèses'!AF25</f>
        <v>-1000</v>
      </c>
      <c r="AG11" s="55">
        <f>-'Hypothèses'!AG25</f>
        <v>-1000</v>
      </c>
      <c r="AH11" s="55">
        <f>-'Hypothèses'!AH25</f>
        <v>-1000</v>
      </c>
      <c r="AI11" s="55">
        <f>-'Hypothèses'!AI25</f>
        <v>-1000</v>
      </c>
      <c r="AJ11" s="55">
        <f>-'Hypothèses'!AJ25</f>
        <v>-1000</v>
      </c>
      <c r="AK11" s="55">
        <f>-'Hypothèses'!AK25</f>
        <v>-1000</v>
      </c>
      <c r="AL11" s="55">
        <f>-'Hypothèses'!AL25</f>
        <v>-1000</v>
      </c>
      <c r="AM11" s="55">
        <f>-'Hypothèses'!AM25</f>
        <v>-1000</v>
      </c>
      <c r="AN11" s="55">
        <f>-'Hypothèses'!AN25</f>
        <v>-1000</v>
      </c>
      <c r="AO11" s="55">
        <f>-'Hypothèses'!AO25</f>
        <v>-1000</v>
      </c>
      <c r="AP11" s="55">
        <f>-'Hypothèses'!AP25</f>
        <v>-1000</v>
      </c>
      <c r="AQ11" s="55">
        <f>-'Hypothèses'!AQ25</f>
        <v>-1000</v>
      </c>
      <c r="AR11" s="55">
        <f>-'Hypothèses'!AR25</f>
        <v>-1000</v>
      </c>
    </row>
    <row r="12" spans="2:44" x14ac:dyDescent="0.25">
      <c r="B12" s="50" t="s">
        <v>25</v>
      </c>
      <c r="C12" s="66">
        <f>SUMIFS(I12:AR12,I3:AR3,C3)</f>
        <v>391630</v>
      </c>
      <c r="D12" s="66">
        <f>SUMIFS(I12:AR12,I3:AR3,D3)</f>
        <v>559156.5</v>
      </c>
      <c r="E12" s="66">
        <f>SUMIFS(I12:AR12,I3:AR3,E3)</f>
        <v>795871.5</v>
      </c>
      <c r="G12" s="56" t="s">
        <v>88</v>
      </c>
      <c r="I12" s="66">
        <f>I7 + I8 + I9 + I10 + I11</f>
        <v>25870</v>
      </c>
      <c r="J12" s="66">
        <f>J7 + J8 + J9 + J10 + J11</f>
        <v>34935</v>
      </c>
      <c r="K12" s="66">
        <f>K7 + K8 + K9 + K10 + K11</f>
        <v>53100</v>
      </c>
      <c r="L12" s="66">
        <f>L7 + L8 + L9 + L10 + L11</f>
        <v>36165</v>
      </c>
      <c r="M12" s="66">
        <f>M7 + M8 + M9 + M10 + M11</f>
        <v>40980</v>
      </c>
      <c r="N12" s="66">
        <f>N7 + N8 + N9 + N10 + N11</f>
        <v>50045</v>
      </c>
      <c r="O12" s="66">
        <f>O7 + O8 + O9 + O10 + O11</f>
        <v>10560</v>
      </c>
      <c r="P12" s="66">
        <f>P7 + P8 + P9 + P10 + P11</f>
        <v>-34275</v>
      </c>
      <c r="Q12" s="66">
        <f>Q7 + Q8 + Q9 + Q10 + Q11</f>
        <v>38090</v>
      </c>
      <c r="R12" s="66">
        <f>R7 + R8 + R9 + R10 + R11</f>
        <v>43805</v>
      </c>
      <c r="S12" s="66">
        <f>S7 + S8 + S9 + S10 + S11</f>
        <v>48420</v>
      </c>
      <c r="T12" s="66">
        <f>T7 + T8 + T9 + T10 + T11</f>
        <v>43935</v>
      </c>
      <c r="U12" s="66">
        <f>U7 + U8 + U9 + U10 + U11</f>
        <v>33881.5</v>
      </c>
      <c r="V12" s="66">
        <f>V7 + V8 + V9 + V10 + V11</f>
        <v>44292</v>
      </c>
      <c r="W12" s="66">
        <f>W7 + W8 + W9 + W10 + W11</f>
        <v>66116.5</v>
      </c>
      <c r="X12" s="66">
        <f>X7 + X8 + X9 + X10 + X11</f>
        <v>47568</v>
      </c>
      <c r="Y12" s="66">
        <f>Y7 + Y8 + Y9 + Y10 + Y11</f>
        <v>53506</v>
      </c>
      <c r="Z12" s="66">
        <f>Z7 + Z8 + Z9 + Z10 + Z11</f>
        <v>63916.5</v>
      </c>
      <c r="AA12" s="66">
        <f>AA7 + AA8 + AA9 + AA10 + AA11</f>
        <v>18902</v>
      </c>
      <c r="AB12" s="66">
        <f>AB7 + AB8 + AB9 + AB10 + AB11</f>
        <v>-32964.5</v>
      </c>
      <c r="AC12" s="66">
        <f>AC7 + AC8 + AC9 + AC10 + AC11</f>
        <v>52371.5</v>
      </c>
      <c r="AD12" s="66">
        <f>AD7 + AD8 + AD9 + AD10 + AD11</f>
        <v>68589</v>
      </c>
      <c r="AE12" s="66">
        <f>AE7 + AE8 + AE9 + AE10 + AE11</f>
        <v>74327</v>
      </c>
      <c r="AF12" s="66">
        <f>AF7 + AF8 + AF9 + AF10 + AF11</f>
        <v>68651</v>
      </c>
      <c r="AG12" s="66">
        <f>AG7 + AG8 + AG9 + AG10 + AG11</f>
        <v>47230</v>
      </c>
      <c r="AH12" s="66">
        <f>AH7 + AH8 + AH9 + AH10 + AH11</f>
        <v>59575</v>
      </c>
      <c r="AI12" s="66">
        <f>AI7 + AI8 + AI9 + AI10 + AI11</f>
        <v>84918.5</v>
      </c>
      <c r="AJ12" s="66">
        <f>AJ7 + AJ8 + AJ9 + AJ10 + AJ11</f>
        <v>64051</v>
      </c>
      <c r="AK12" s="66">
        <f>AK7 + AK8 + AK9 + AK10 + AK11</f>
        <v>71673.5</v>
      </c>
      <c r="AL12" s="66">
        <f>AL7 + AL8 + AL9 + AL10 + AL11</f>
        <v>84018.5</v>
      </c>
      <c r="AM12" s="66">
        <f>AM7 + AM8 + AM9 + AM10 + AM11</f>
        <v>41716</v>
      </c>
      <c r="AN12" s="66">
        <f>AN7 + AN8 + AN9 + AN10 + AN11</f>
        <v>-18507.5</v>
      </c>
      <c r="AO12" s="66">
        <f>AO7 + AO8 + AO9 + AO10 + AO11</f>
        <v>80689</v>
      </c>
      <c r="AP12" s="66">
        <f>AP7 + AP8 + AP9 + AP10 + AP11</f>
        <v>90741</v>
      </c>
      <c r="AQ12" s="66">
        <f>AQ7 + AQ8 + AQ9 + AQ10 + AQ11</f>
        <v>98163.5</v>
      </c>
      <c r="AR12" s="66">
        <f>AR7 + AR8 + AR9 + AR10 + AR11</f>
        <v>91603</v>
      </c>
    </row>
    <row r="13" spans="2:44" x14ac:dyDescent="0.25">
      <c r="B13" t="s">
        <v>89</v>
      </c>
      <c r="C13" s="58">
        <f>SUMIFS(I13:AR13,I3:AR3,C3)</f>
        <v>2.0120000233494304</v>
      </c>
      <c r="D13" s="58">
        <f>SUMIFS(I13:AR13,I3:AR3,D3)</f>
        <v>2.3645489665638464</v>
      </c>
      <c r="E13" s="58">
        <f>SUMIFS(I13:AR13,I3:AR3,E3)</f>
        <v>2.833527365457514</v>
      </c>
      <c r="I13" s="58">
        <f>IFERROR(IF(I7 = 0, 0, I12 / I7), 0)</f>
        <v>0.17042160737812911</v>
      </c>
      <c r="J13" s="58">
        <f>IFERROR(IF(J7 = 0, 0, J12 / J7), 0)</f>
        <v>0.21591470951792335</v>
      </c>
      <c r="K13" s="58">
        <f>IFERROR(IF(K7 = 0, 0, K12 / K7), 0)</f>
        <v>0.2917582417582418</v>
      </c>
      <c r="L13" s="58">
        <f>IFERROR(IF(L7 = 0, 0, L12 / L7), 0)</f>
        <v>0.21050640279394645</v>
      </c>
      <c r="M13" s="58">
        <f>IFERROR(IF(M7 = 0, 0, M12 / M7), 0)</f>
        <v>0.23152542372881357</v>
      </c>
      <c r="N13" s="58">
        <f>IFERROR(IF(N7 = 0, 0, N12 / N7), 0)</f>
        <v>0.267620320855615</v>
      </c>
      <c r="O13" s="58">
        <f>IFERROR(IF(O7 = 0, 0, O12 / O7), 0)</f>
        <v>0.06970297029702971</v>
      </c>
      <c r="P13" s="58">
        <f>IFERROR(IF(P7 = 0, 0, P12 / P7), 0)</f>
        <v>-0.3393564356435644</v>
      </c>
      <c r="Q13" s="58">
        <f>IFERROR(IF(Q7 = 0, 0, Q12 / Q7), 0)</f>
        <v>0.2092857142857143</v>
      </c>
      <c r="R13" s="58">
        <f>IFERROR(IF(R7 = 0, 0, R12 / R7), 0)</f>
        <v>0.22213488843813387</v>
      </c>
      <c r="S13" s="58">
        <f>IFERROR(IF(S7 = 0, 0, S12 / S7), 0)</f>
        <v>0.23946587537091987</v>
      </c>
      <c r="T13" s="58">
        <f>IFERROR(IF(T7 = 0, 0, T12 / T7), 0)</f>
        <v>0.22302030456852792</v>
      </c>
      <c r="U13" s="58">
        <f>IFERROR(IF(U7 = 0, 0, U12 / U7), 0)</f>
        <v>0.17799579721565537</v>
      </c>
      <c r="V13" s="58">
        <f>IFERROR(IF(V7 = 0, 0, V12 / V7), 0)</f>
        <v>0.21948463825569872</v>
      </c>
      <c r="W13" s="58">
        <f>IFERROR(IF(W7 = 0, 0, W12 / W7), 0)</f>
        <v>0.29248617562486173</v>
      </c>
      <c r="X13" s="58">
        <f>IFERROR(IF(X7 = 0, 0, X12 / X7), 0)</f>
        <v>0.22207282913165266</v>
      </c>
      <c r="Y13" s="58">
        <f>IFERROR(IF(Y7 = 0, 0, Y12 / Y7), 0)</f>
        <v>0.24254759746146873</v>
      </c>
      <c r="Z13" s="58">
        <f>IFERROR(IF(Z7 = 0, 0, Z12 / Z7), 0)</f>
        <v>0.275442792501616</v>
      </c>
      <c r="AA13" s="58">
        <f>IFERROR(IF(AA7 = 0, 0, AA12 / AA7), 0)</f>
        <v>0.0992230971128609</v>
      </c>
      <c r="AB13" s="58">
        <f>IFERROR(IF(AB7 = 0, 0, AB12 / AB7), 0)</f>
        <v>-0.24963650132525558</v>
      </c>
      <c r="AC13" s="58">
        <f>IFERROR(IF(AC7 = 0, 0, AC12 / AC7), 0)</f>
        <v>0.2301538123489343</v>
      </c>
      <c r="AD13" s="58">
        <f>IFERROR(IF(AD7 = 0, 0, AD12 / AD7), 0)</f>
        <v>0.2793849287169043</v>
      </c>
      <c r="AE13" s="58">
        <f>IFERROR(IF(AE7 = 0, 0, AE12 / AE7), 0)</f>
        <v>0.2952999602701629</v>
      </c>
      <c r="AF13" s="58">
        <f>IFERROR(IF(AF7 = 0, 0, AF12 / AF7), 0)</f>
        <v>0.280093839249286</v>
      </c>
      <c r="AG13" s="58">
        <f>IFERROR(IF(AG7 = 0, 0, AG12 / AG7), 0)</f>
        <v>0.2008078231292517</v>
      </c>
      <c r="AH13" s="58">
        <f>IFERROR(IF(AH7 = 0, 0, AH12 / AH7), 0)</f>
        <v>0.23954563731403297</v>
      </c>
      <c r="AI13" s="58">
        <f>IFERROR(IF(AI7 = 0, 0, AI12 / AI7), 0)</f>
        <v>0.30689736176364296</v>
      </c>
      <c r="AJ13" s="58">
        <f>IFERROR(IF(AJ7 = 0, 0, AJ12 / AJ7), 0)</f>
        <v>0.2440038095238095</v>
      </c>
      <c r="AK13" s="58">
        <f>IFERROR(IF(AK7 = 0, 0, AK12 / AK7), 0)</f>
        <v>0.2647709641669745</v>
      </c>
      <c r="AL13" s="58">
        <f>IFERROR(IF(AL7 = 0, 0, AL12 / AL7), 0)</f>
        <v>0.29563159746657286</v>
      </c>
      <c r="AM13" s="58">
        <f>IFERROR(IF(AM7 = 0, 0, AM12 / AM7), 0)</f>
        <v>0.17623996620194338</v>
      </c>
      <c r="AN13" s="58">
        <f>IFERROR(IF(AN7 = 0, 0, AN12 / AN7), 0)</f>
        <v>-0.1093823877068558</v>
      </c>
      <c r="AO13" s="58">
        <f>IFERROR(IF(AO7 = 0, 0, AO12 / AO7), 0)</f>
        <v>0.2885872675250358</v>
      </c>
      <c r="AP13" s="58">
        <f>IFERROR(IF(AP7 = 0, 0, AP12 / AP7), 0)</f>
        <v>0.30257085695231745</v>
      </c>
      <c r="AQ13" s="58">
        <f>IFERROR(IF(AQ7 = 0, 0, AQ12 / AQ7), 0)</f>
        <v>0.3188161740824943</v>
      </c>
      <c r="AR13" s="58">
        <f>IFERROR(IF(AR7 = 0, 0, AR12 / AR7), 0)</f>
        <v>0.30503829503829505</v>
      </c>
    </row>
    <row r="14" spans="2:44" x14ac:dyDescent="0.25">
      <c r="B14" t="s">
        <v>90</v>
      </c>
      <c r="C14" s="55">
        <f>SUMIFS(I14:AR14,I3:AR3,C3)</f>
        <v>-24000</v>
      </c>
      <c r="D14" s="55">
        <f>SUMIFS(I14:AR14,I3:AR3,D3)</f>
        <v>-30000</v>
      </c>
      <c r="E14" s="55">
        <f>SUMIFS(I14:AR14,I3:AR3,E3)</f>
        <v>-37200</v>
      </c>
      <c r="I14" s="55">
        <f>-'Hypothèses'!I29</f>
        <v>-2000</v>
      </c>
      <c r="J14" s="55">
        <f>-'Hypothèses'!J29</f>
        <v>-2000</v>
      </c>
      <c r="K14" s="55">
        <f>-'Hypothèses'!K29</f>
        <v>-2000</v>
      </c>
      <c r="L14" s="55">
        <f>-'Hypothèses'!L29</f>
        <v>-2000</v>
      </c>
      <c r="M14" s="55">
        <f>-'Hypothèses'!M29</f>
        <v>-2000</v>
      </c>
      <c r="N14" s="55">
        <f>-'Hypothèses'!N29</f>
        <v>-2000</v>
      </c>
      <c r="O14" s="55">
        <f>-'Hypothèses'!O29</f>
        <v>-2000</v>
      </c>
      <c r="P14" s="55">
        <f>-'Hypothèses'!P29</f>
        <v>-2000</v>
      </c>
      <c r="Q14" s="55">
        <f>-'Hypothèses'!Q29</f>
        <v>-2000</v>
      </c>
      <c r="R14" s="55">
        <f>-'Hypothèses'!R29</f>
        <v>-2000</v>
      </c>
      <c r="S14" s="55">
        <f>-'Hypothèses'!S29</f>
        <v>-2000</v>
      </c>
      <c r="T14" s="55">
        <f>-'Hypothèses'!T29</f>
        <v>-2000</v>
      </c>
      <c r="U14" s="55">
        <f>-'Hypothèses'!U29</f>
        <v>-2500</v>
      </c>
      <c r="V14" s="55">
        <f>-'Hypothèses'!V29</f>
        <v>-2500</v>
      </c>
      <c r="W14" s="55">
        <f>-'Hypothèses'!W29</f>
        <v>-2500</v>
      </c>
      <c r="X14" s="55">
        <f>-'Hypothèses'!X29</f>
        <v>-2500</v>
      </c>
      <c r="Y14" s="55">
        <f>-'Hypothèses'!Y29</f>
        <v>-2500</v>
      </c>
      <c r="Z14" s="55">
        <f>-'Hypothèses'!Z29</f>
        <v>-2500</v>
      </c>
      <c r="AA14" s="55">
        <f>-'Hypothèses'!AA29</f>
        <v>-2500</v>
      </c>
      <c r="AB14" s="55">
        <f>-'Hypothèses'!AB29</f>
        <v>-2500</v>
      </c>
      <c r="AC14" s="55">
        <f>-'Hypothèses'!AC29</f>
        <v>-2500</v>
      </c>
      <c r="AD14" s="55">
        <f>-'Hypothèses'!AD29</f>
        <v>-2500</v>
      </c>
      <c r="AE14" s="55">
        <f>-'Hypothèses'!AE29</f>
        <v>-2500</v>
      </c>
      <c r="AF14" s="55">
        <f>-'Hypothèses'!AF29</f>
        <v>-2500</v>
      </c>
      <c r="AG14" s="55">
        <f>-'Hypothèses'!AG29</f>
        <v>-3100</v>
      </c>
      <c r="AH14" s="55">
        <f>-'Hypothèses'!AH29</f>
        <v>-3100</v>
      </c>
      <c r="AI14" s="55">
        <f>-'Hypothèses'!AI29</f>
        <v>-3100</v>
      </c>
      <c r="AJ14" s="55">
        <f>-'Hypothèses'!AJ29</f>
        <v>-3100</v>
      </c>
      <c r="AK14" s="55">
        <f>-'Hypothèses'!AK29</f>
        <v>-3100</v>
      </c>
      <c r="AL14" s="55">
        <f>-'Hypothèses'!AL29</f>
        <v>-3100</v>
      </c>
      <c r="AM14" s="55">
        <f>-'Hypothèses'!AM29</f>
        <v>-3100</v>
      </c>
      <c r="AN14" s="55">
        <f>-'Hypothèses'!AN29</f>
        <v>-3100</v>
      </c>
      <c r="AO14" s="55">
        <f>-'Hypothèses'!AO29</f>
        <v>-3100</v>
      </c>
      <c r="AP14" s="55">
        <f>-'Hypothèses'!AP29</f>
        <v>-3100</v>
      </c>
      <c r="AQ14" s="55">
        <f>-'Hypothèses'!AQ29</f>
        <v>-3100</v>
      </c>
      <c r="AR14" s="55">
        <f>-'Hypothèses'!AR29</f>
        <v>-3100</v>
      </c>
    </row>
    <row r="15" spans="2:44" x14ac:dyDescent="0.25">
      <c r="B15" s="50" t="s">
        <v>91</v>
      </c>
      <c r="C15" s="66">
        <f>SUMIFS(I15:AR15,I3:AR3,C3)</f>
        <v>367630</v>
      </c>
      <c r="D15" s="66">
        <f>SUMIFS(I15:AR15,I3:AR3,D3)</f>
        <v>529156.5</v>
      </c>
      <c r="E15" s="66">
        <f>SUMIFS(I15:AR15,I3:AR3,E3)</f>
        <v>758671.5</v>
      </c>
      <c r="I15" s="66">
        <f>I12 + I14</f>
        <v>23870</v>
      </c>
      <c r="J15" s="66">
        <f>J12 + J14</f>
        <v>32935</v>
      </c>
      <c r="K15" s="66">
        <f>K12 + K14</f>
        <v>51100</v>
      </c>
      <c r="L15" s="66">
        <f>L12 + L14</f>
        <v>34165</v>
      </c>
      <c r="M15" s="66">
        <f>M12 + M14</f>
        <v>38980</v>
      </c>
      <c r="N15" s="66">
        <f>N12 + N14</f>
        <v>48045</v>
      </c>
      <c r="O15" s="66">
        <f>O12 + O14</f>
        <v>8560</v>
      </c>
      <c r="P15" s="66">
        <f>P12 + P14</f>
        <v>-36275</v>
      </c>
      <c r="Q15" s="66">
        <f>Q12 + Q14</f>
        <v>36090</v>
      </c>
      <c r="R15" s="66">
        <f>R12 + R14</f>
        <v>41805</v>
      </c>
      <c r="S15" s="66">
        <f>S12 + S14</f>
        <v>46420</v>
      </c>
      <c r="T15" s="66">
        <f>T12 + T14</f>
        <v>41935</v>
      </c>
      <c r="U15" s="66">
        <f>U12 + U14</f>
        <v>31381.5</v>
      </c>
      <c r="V15" s="66">
        <f>V12 + V14</f>
        <v>41792</v>
      </c>
      <c r="W15" s="66">
        <f>W12 + W14</f>
        <v>63616.5</v>
      </c>
      <c r="X15" s="66">
        <f>X12 + X14</f>
        <v>45068</v>
      </c>
      <c r="Y15" s="66">
        <f>Y12 + Y14</f>
        <v>51006</v>
      </c>
      <c r="Z15" s="66">
        <f>Z12 + Z14</f>
        <v>61416.5</v>
      </c>
      <c r="AA15" s="66">
        <f>AA12 + AA14</f>
        <v>16402</v>
      </c>
      <c r="AB15" s="66">
        <f>AB12 + AB14</f>
        <v>-35464.5</v>
      </c>
      <c r="AC15" s="66">
        <f>AC12 + AC14</f>
        <v>49871.5</v>
      </c>
      <c r="AD15" s="66">
        <f>AD12 + AD14</f>
        <v>66089</v>
      </c>
      <c r="AE15" s="66">
        <f>AE12 + AE14</f>
        <v>71827</v>
      </c>
      <c r="AF15" s="66">
        <f>AF12 + AF14</f>
        <v>66151</v>
      </c>
      <c r="AG15" s="66">
        <f>AG12 + AG14</f>
        <v>44130</v>
      </c>
      <c r="AH15" s="66">
        <f>AH12 + AH14</f>
        <v>56475</v>
      </c>
      <c r="AI15" s="66">
        <f>AI12 + AI14</f>
        <v>81818.5</v>
      </c>
      <c r="AJ15" s="66">
        <f>AJ12 + AJ14</f>
        <v>60951</v>
      </c>
      <c r="AK15" s="66">
        <f>AK12 + AK14</f>
        <v>68573.5</v>
      </c>
      <c r="AL15" s="66">
        <f>AL12 + AL14</f>
        <v>80918.5</v>
      </c>
      <c r="AM15" s="66">
        <f>AM12 + AM14</f>
        <v>38616</v>
      </c>
      <c r="AN15" s="66">
        <f>AN12 + AN14</f>
        <v>-21607.5</v>
      </c>
      <c r="AO15" s="66">
        <f>AO12 + AO14</f>
        <v>77589</v>
      </c>
      <c r="AP15" s="66">
        <f>AP12 + AP14</f>
        <v>87641</v>
      </c>
      <c r="AQ15" s="66">
        <f>AQ12 + AQ14</f>
        <v>95063.5</v>
      </c>
      <c r="AR15" s="66">
        <f>AR12 + AR14</f>
        <v>88503</v>
      </c>
    </row>
    <row r="16" spans="2:44" x14ac:dyDescent="0.25">
      <c r="B16" t="s">
        <v>64</v>
      </c>
      <c r="C16" s="65">
        <f>'Hypothèses'!C30</f>
        <v>0</v>
      </c>
      <c r="D16" s="65">
        <f>'Hypothèses'!D30</f>
        <v>0</v>
      </c>
      <c r="E16" s="65">
        <f>'Hypothèses'!E30</f>
        <v>0</v>
      </c>
      <c r="I16" s="65">
        <f>'Hypothèses'!I30</f>
        <v>0</v>
      </c>
      <c r="J16" s="65">
        <f>'Hypothèses'!J30</f>
        <v>0</v>
      </c>
      <c r="K16" s="65">
        <f>'Hypothèses'!K30</f>
        <v>0</v>
      </c>
      <c r="L16" s="65">
        <f>'Hypothèses'!L30</f>
        <v>0</v>
      </c>
      <c r="M16" s="65">
        <f>'Hypothèses'!M30</f>
        <v>0</v>
      </c>
      <c r="N16" s="65">
        <f>'Hypothèses'!N30</f>
        <v>0</v>
      </c>
      <c r="O16" s="65">
        <f>'Hypothèses'!O30</f>
        <v>0</v>
      </c>
      <c r="P16" s="65">
        <f>'Hypothèses'!P30</f>
        <v>0</v>
      </c>
      <c r="Q16" s="65">
        <f>'Hypothèses'!Q30</f>
        <v>0</v>
      </c>
      <c r="R16" s="65">
        <f>'Hypothèses'!R30</f>
        <v>0</v>
      </c>
      <c r="S16" s="65">
        <f>'Hypothèses'!S30</f>
        <v>0</v>
      </c>
      <c r="T16" s="65">
        <f>'Hypothèses'!T30</f>
        <v>0</v>
      </c>
      <c r="U16" s="65">
        <f>'Hypothèses'!U30</f>
        <v>0</v>
      </c>
      <c r="V16" s="65">
        <f>'Hypothèses'!V30</f>
        <v>0</v>
      </c>
      <c r="W16" s="65">
        <f>'Hypothèses'!W30</f>
        <v>0</v>
      </c>
      <c r="X16" s="65">
        <f>'Hypothèses'!X30</f>
        <v>0</v>
      </c>
      <c r="Y16" s="65">
        <f>'Hypothèses'!Y30</f>
        <v>0</v>
      </c>
      <c r="Z16" s="65">
        <f>'Hypothèses'!Z30</f>
        <v>0</v>
      </c>
      <c r="AA16" s="65">
        <f>'Hypothèses'!AA30</f>
        <v>0</v>
      </c>
      <c r="AB16" s="65">
        <f>'Hypothèses'!AB30</f>
        <v>0</v>
      </c>
      <c r="AC16" s="65">
        <f>'Hypothèses'!AC30</f>
        <v>0</v>
      </c>
      <c r="AD16" s="65">
        <f>'Hypothèses'!AD30</f>
        <v>0</v>
      </c>
      <c r="AE16" s="65">
        <f>'Hypothèses'!AE30</f>
        <v>0</v>
      </c>
      <c r="AF16" s="65">
        <f>'Hypothèses'!AF30</f>
        <v>0</v>
      </c>
      <c r="AG16" s="65">
        <f>'Hypothèses'!AG30</f>
        <v>0</v>
      </c>
      <c r="AH16" s="65">
        <f>'Hypothèses'!AH30</f>
        <v>0</v>
      </c>
      <c r="AI16" s="65">
        <f>'Hypothèses'!AI30</f>
        <v>0</v>
      </c>
      <c r="AJ16" s="65">
        <f>'Hypothèses'!AJ30</f>
        <v>0</v>
      </c>
      <c r="AK16" s="65">
        <f>'Hypothèses'!AK30</f>
        <v>0</v>
      </c>
      <c r="AL16" s="65">
        <f>'Hypothèses'!AL30</f>
        <v>0</v>
      </c>
      <c r="AM16" s="65">
        <f>'Hypothèses'!AM30</f>
        <v>0</v>
      </c>
      <c r="AN16" s="65">
        <f>'Hypothèses'!AN30</f>
        <v>0</v>
      </c>
      <c r="AO16" s="65">
        <f>'Hypothèses'!AO30</f>
        <v>0</v>
      </c>
      <c r="AP16" s="65">
        <f>'Hypothèses'!AP30</f>
        <v>0</v>
      </c>
      <c r="AQ16" s="65">
        <f>'Hypothèses'!AQ30</f>
        <v>0</v>
      </c>
      <c r="AR16" s="65">
        <f>'Hypothèses'!AR30</f>
        <v>0</v>
      </c>
    </row>
    <row r="17" spans="2:44" x14ac:dyDescent="0.25">
      <c r="B17" t="s">
        <v>92</v>
      </c>
      <c r="C17" s="55">
        <f>-'Hypothèses'!C31</f>
        <v>-5940</v>
      </c>
      <c r="D17" s="55">
        <f>-'Hypothèses'!D31</f>
        <v>-4500</v>
      </c>
      <c r="E17" s="55">
        <f>-'Hypothèses'!E31</f>
        <v>-3060</v>
      </c>
      <c r="I17" s="55">
        <f>-'Hypothèses'!I31</f>
        <v>-550</v>
      </c>
      <c r="J17" s="55">
        <f>-'Hypothèses'!J31</f>
        <v>-540</v>
      </c>
      <c r="K17" s="55">
        <f>-'Hypothèses'!K31</f>
        <v>-530</v>
      </c>
      <c r="L17" s="55">
        <f>-'Hypothèses'!L31</f>
        <v>-520</v>
      </c>
      <c r="M17" s="55">
        <f>-'Hypothèses'!M31</f>
        <v>-510</v>
      </c>
      <c r="N17" s="55">
        <f>-'Hypothèses'!N31</f>
        <v>-500</v>
      </c>
      <c r="O17" s="55">
        <f>-'Hypothèses'!O31</f>
        <v>-490</v>
      </c>
      <c r="P17" s="55">
        <f>-'Hypothèses'!P31</f>
        <v>-480</v>
      </c>
      <c r="Q17" s="55">
        <f>-'Hypothèses'!Q31</f>
        <v>-470</v>
      </c>
      <c r="R17" s="55">
        <f>-'Hypothèses'!R31</f>
        <v>-460</v>
      </c>
      <c r="S17" s="55">
        <f>-'Hypothèses'!S31</f>
        <v>-450</v>
      </c>
      <c r="T17" s="55">
        <f>-'Hypothèses'!T31</f>
        <v>-440</v>
      </c>
      <c r="U17" s="55">
        <f>-'Hypothèses'!U31</f>
        <v>-430</v>
      </c>
      <c r="V17" s="55">
        <f>-'Hypothèses'!V31</f>
        <v>-420</v>
      </c>
      <c r="W17" s="55">
        <f>-'Hypothèses'!W31</f>
        <v>-410</v>
      </c>
      <c r="X17" s="55">
        <f>-'Hypothèses'!X31</f>
        <v>-400</v>
      </c>
      <c r="Y17" s="55">
        <f>-'Hypothèses'!Y31</f>
        <v>-390</v>
      </c>
      <c r="Z17" s="55">
        <f>-'Hypothèses'!Z31</f>
        <v>-380</v>
      </c>
      <c r="AA17" s="55">
        <f>-'Hypothèses'!AA31</f>
        <v>-370</v>
      </c>
      <c r="AB17" s="55">
        <f>-'Hypothèses'!AB31</f>
        <v>-360</v>
      </c>
      <c r="AC17" s="55">
        <f>-'Hypothèses'!AC31</f>
        <v>-350</v>
      </c>
      <c r="AD17" s="55">
        <f>-'Hypothèses'!AD31</f>
        <v>-340</v>
      </c>
      <c r="AE17" s="55">
        <f>-'Hypothèses'!AE31</f>
        <v>-330</v>
      </c>
      <c r="AF17" s="55">
        <f>-'Hypothèses'!AF31</f>
        <v>-320</v>
      </c>
      <c r="AG17" s="55">
        <f>-'Hypothèses'!AG31</f>
        <v>-310</v>
      </c>
      <c r="AH17" s="55">
        <f>-'Hypothèses'!AH31</f>
        <v>-300</v>
      </c>
      <c r="AI17" s="55">
        <f>-'Hypothèses'!AI31</f>
        <v>-290</v>
      </c>
      <c r="AJ17" s="55">
        <f>-'Hypothèses'!AJ31</f>
        <v>-280</v>
      </c>
      <c r="AK17" s="55">
        <f>-'Hypothèses'!AK31</f>
        <v>-270</v>
      </c>
      <c r="AL17" s="55">
        <f>-'Hypothèses'!AL31</f>
        <v>-260</v>
      </c>
      <c r="AM17" s="55">
        <f>-'Hypothèses'!AM31</f>
        <v>-250</v>
      </c>
      <c r="AN17" s="55">
        <f>-'Hypothèses'!AN31</f>
        <v>-240</v>
      </c>
      <c r="AO17" s="55">
        <f>-'Hypothèses'!AO31</f>
        <v>-230</v>
      </c>
      <c r="AP17" s="55">
        <f>-'Hypothèses'!AP31</f>
        <v>-220</v>
      </c>
      <c r="AQ17" s="55">
        <f>-'Hypothèses'!AQ31</f>
        <v>-210</v>
      </c>
      <c r="AR17" s="55">
        <f>-'Hypothèses'!AR31</f>
        <v>-200</v>
      </c>
    </row>
    <row r="18" spans="2:44" x14ac:dyDescent="0.25">
      <c r="B18" s="50" t="s">
        <v>93</v>
      </c>
      <c r="C18" s="66">
        <f>SUMIFS(I18:AR18,I3:AR3,C3)</f>
        <v>361690</v>
      </c>
      <c r="D18" s="66">
        <f>SUMIFS(I18:AR18,I3:AR3,D3)</f>
        <v>524656.5</v>
      </c>
      <c r="E18" s="66">
        <f>SUMIFS(I18:AR18,I3:AR3,E3)</f>
        <v>755611.5</v>
      </c>
      <c r="I18" s="66">
        <f>I15 + 'Hypothèses'!I30 + I17</f>
        <v>23320</v>
      </c>
      <c r="J18" s="66">
        <f>J15 + 'Hypothèses'!J30 + J17</f>
        <v>32395</v>
      </c>
      <c r="K18" s="66">
        <f>K15 + 'Hypothèses'!K30 + K17</f>
        <v>50570</v>
      </c>
      <c r="L18" s="66">
        <f>L15 + 'Hypothèses'!L30 + L17</f>
        <v>33645</v>
      </c>
      <c r="M18" s="66">
        <f>M15 + 'Hypothèses'!M30 + M17</f>
        <v>38470</v>
      </c>
      <c r="N18" s="66">
        <f>N15 + 'Hypothèses'!N30 + N17</f>
        <v>47545</v>
      </c>
      <c r="O18" s="66">
        <f>O15 + 'Hypothèses'!O30 + O17</f>
        <v>8070</v>
      </c>
      <c r="P18" s="66">
        <f>P15 + 'Hypothèses'!P30 + P17</f>
        <v>-36755</v>
      </c>
      <c r="Q18" s="66">
        <f>Q15 + 'Hypothèses'!Q30 + Q17</f>
        <v>35620</v>
      </c>
      <c r="R18" s="66">
        <f>R15 + 'Hypothèses'!R30 + R17</f>
        <v>41345</v>
      </c>
      <c r="S18" s="66">
        <f>S15 + 'Hypothèses'!S30 + S17</f>
        <v>45970</v>
      </c>
      <c r="T18" s="66">
        <f>T15 + 'Hypothèses'!T30 + T17</f>
        <v>41495</v>
      </c>
      <c r="U18" s="66">
        <f>U15 + 'Hypothèses'!U30 + U17</f>
        <v>30951.5</v>
      </c>
      <c r="V18" s="66">
        <f>V15 + 'Hypothèses'!V30 + V17</f>
        <v>41372</v>
      </c>
      <c r="W18" s="66">
        <f>W15 + 'Hypothèses'!W30 + W17</f>
        <v>63206.5</v>
      </c>
      <c r="X18" s="66">
        <f>X15 + 'Hypothèses'!X30 + X17</f>
        <v>44668</v>
      </c>
      <c r="Y18" s="66">
        <f>Y15 + 'Hypothèses'!Y30 + Y17</f>
        <v>50616</v>
      </c>
      <c r="Z18" s="66">
        <f>Z15 + 'Hypothèses'!Z30 + Z17</f>
        <v>61036.5</v>
      </c>
      <c r="AA18" s="66">
        <f>AA15 + 'Hypothèses'!AA30 + AA17</f>
        <v>16032</v>
      </c>
      <c r="AB18" s="66">
        <f>AB15 + 'Hypothèses'!AB30 + AB17</f>
        <v>-35824.5</v>
      </c>
      <c r="AC18" s="66">
        <f>AC15 + 'Hypothèses'!AC30 + AC17</f>
        <v>49521.5</v>
      </c>
      <c r="AD18" s="66">
        <f>AD15 + 'Hypothèses'!AD30 + AD17</f>
        <v>65749</v>
      </c>
      <c r="AE18" s="66">
        <f>AE15 + 'Hypothèses'!AE30 + AE17</f>
        <v>71497</v>
      </c>
      <c r="AF18" s="66">
        <f>AF15 + 'Hypothèses'!AF30 + AF17</f>
        <v>65831</v>
      </c>
      <c r="AG18" s="66">
        <f>AG15 + 'Hypothèses'!AG30 + AG17</f>
        <v>43820</v>
      </c>
      <c r="AH18" s="66">
        <f>AH15 + 'Hypothèses'!AH30 + AH17</f>
        <v>56175</v>
      </c>
      <c r="AI18" s="66">
        <f>AI15 + 'Hypothèses'!AI30 + AI17</f>
        <v>81528.5</v>
      </c>
      <c r="AJ18" s="66">
        <f>AJ15 + 'Hypothèses'!AJ30 + AJ17</f>
        <v>60671</v>
      </c>
      <c r="AK18" s="66">
        <f>AK15 + 'Hypothèses'!AK30 + AK17</f>
        <v>68303.5</v>
      </c>
      <c r="AL18" s="66">
        <f>AL15 + 'Hypothèses'!AL30 + AL17</f>
        <v>80658.5</v>
      </c>
      <c r="AM18" s="66">
        <f>AM15 + 'Hypothèses'!AM30 + AM17</f>
        <v>38366</v>
      </c>
      <c r="AN18" s="66">
        <f>AN15 + 'Hypothèses'!AN30 + AN17</f>
        <v>-21847.5</v>
      </c>
      <c r="AO18" s="66">
        <f>AO15 + 'Hypothèses'!AO30 + AO17</f>
        <v>77359</v>
      </c>
      <c r="AP18" s="66">
        <f>AP15 + 'Hypothèses'!AP30 + AP17</f>
        <v>87421</v>
      </c>
      <c r="AQ18" s="66">
        <f>AQ15 + 'Hypothèses'!AQ30 + AQ17</f>
        <v>94853.5</v>
      </c>
      <c r="AR18" s="66">
        <f>AR15 + 'Hypothèses'!AR30 + AR17</f>
        <v>88303</v>
      </c>
    </row>
    <row r="19" spans="2:44" x14ac:dyDescent="0.25">
      <c r="B19" t="s">
        <v>94</v>
      </c>
      <c r="C19" s="55">
        <f>SUMIFS(I19:AR19,I3:AR3,C3)</f>
        <v>-99611.25</v>
      </c>
      <c r="D19" s="55">
        <f>SUMIFS(I19:AR19,I3:AR3,D3)</f>
        <v>-140120.25</v>
      </c>
      <c r="E19" s="55">
        <f>SUMIFS(I19:AR19,I3:AR3,E3)</f>
        <v>-194364.75</v>
      </c>
      <c r="I19" s="55">
        <f>-MAX(0, I18 * 'Hypothèses'!I32)</f>
        <v>-5830</v>
      </c>
      <c r="J19" s="55">
        <f>-MAX(0, J18 * 'Hypothèses'!I32)</f>
        <v>-8098.75</v>
      </c>
      <c r="K19" s="55">
        <f>-MAX(0, K18 * 'Hypothèses'!I32)</f>
        <v>-12642.5</v>
      </c>
      <c r="L19" s="55">
        <f>-MAX(0, L18 * 'Hypothèses'!I32)</f>
        <v>-8411.25</v>
      </c>
      <c r="M19" s="55">
        <f>-MAX(0, M18 * 'Hypothèses'!I32)</f>
        <v>-9617.5</v>
      </c>
      <c r="N19" s="55">
        <f>-MAX(0, N18 * 'Hypothèses'!I32)</f>
        <v>-11886.25</v>
      </c>
      <c r="O19" s="55">
        <f>-MAX(0, O18 * 'Hypothèses'!I32)</f>
        <v>-2017.5</v>
      </c>
      <c r="P19" s="55">
        <f>-MAX(0, P18 * 'Hypothèses'!I32)</f>
        <v>0</v>
      </c>
      <c r="Q19" s="55">
        <f>-MAX(0, Q18 * 'Hypothèses'!I32)</f>
        <v>-8905</v>
      </c>
      <c r="R19" s="55">
        <f>-MAX(0, R18 * 'Hypothèses'!I32)</f>
        <v>-10336.25</v>
      </c>
      <c r="S19" s="55">
        <f>-MAX(0, S18 * 'Hypothèses'!I32)</f>
        <v>-11492.5</v>
      </c>
      <c r="T19" s="55">
        <f>-MAX(0, T18 * 'Hypothèses'!I32)</f>
        <v>-10373.75</v>
      </c>
      <c r="U19" s="55">
        <f>-MAX(0, U18 * 'Hypothèses'!I32)</f>
        <v>-7737.875</v>
      </c>
      <c r="V19" s="55">
        <f>-MAX(0, V18 * 'Hypothèses'!I32)</f>
        <v>-10343</v>
      </c>
      <c r="W19" s="55">
        <f>-MAX(0, W18 * 'Hypothèses'!I32)</f>
        <v>-15801.625</v>
      </c>
      <c r="X19" s="55">
        <f>-MAX(0, X18 * 'Hypothèses'!I32)</f>
        <v>-11167</v>
      </c>
      <c r="Y19" s="55">
        <f>-MAX(0, Y18 * 'Hypothèses'!I32)</f>
        <v>-12654</v>
      </c>
      <c r="Z19" s="55">
        <f>-MAX(0, Z18 * 'Hypothèses'!I32)</f>
        <v>-15259.125</v>
      </c>
      <c r="AA19" s="55">
        <f>-MAX(0, AA18 * 'Hypothèses'!I32)</f>
        <v>-4008</v>
      </c>
      <c r="AB19" s="55">
        <f>-MAX(0, AB18 * 'Hypothèses'!I32)</f>
        <v>0</v>
      </c>
      <c r="AC19" s="55">
        <f>-MAX(0, AC18 * 'Hypothèses'!I32)</f>
        <v>-12380.375</v>
      </c>
      <c r="AD19" s="55">
        <f>-MAX(0, AD18 * 'Hypothèses'!I32)</f>
        <v>-16437.25</v>
      </c>
      <c r="AE19" s="55">
        <f>-MAX(0, AE18 * 'Hypothèses'!I32)</f>
        <v>-17874.25</v>
      </c>
      <c r="AF19" s="55">
        <f>-MAX(0, AF18 * 'Hypothèses'!I32)</f>
        <v>-16457.75</v>
      </c>
      <c r="AG19" s="55">
        <f>-MAX(0, AG18 * 'Hypothèses'!I32)</f>
        <v>-10955</v>
      </c>
      <c r="AH19" s="55">
        <f>-MAX(0, AH18 * 'Hypothèses'!I32)</f>
        <v>-14043.75</v>
      </c>
      <c r="AI19" s="55">
        <f>-MAX(0, AI18 * 'Hypothèses'!I32)</f>
        <v>-20382.125</v>
      </c>
      <c r="AJ19" s="55">
        <f>-MAX(0, AJ18 * 'Hypothèses'!I32)</f>
        <v>-15167.75</v>
      </c>
      <c r="AK19" s="55">
        <f>-MAX(0, AK18 * 'Hypothèses'!I32)</f>
        <v>-17075.875</v>
      </c>
      <c r="AL19" s="55">
        <f>-MAX(0, AL18 * 'Hypothèses'!I32)</f>
        <v>-20164.625</v>
      </c>
      <c r="AM19" s="55">
        <f>-MAX(0, AM18 * 'Hypothèses'!I32)</f>
        <v>-9591.5</v>
      </c>
      <c r="AN19" s="55">
        <f>-MAX(0, AN18 * 'Hypothèses'!I32)</f>
        <v>0</v>
      </c>
      <c r="AO19" s="55">
        <f>-MAX(0, AO18 * 'Hypothèses'!I32)</f>
        <v>-19339.75</v>
      </c>
      <c r="AP19" s="55">
        <f>-MAX(0, AP18 * 'Hypothèses'!I32)</f>
        <v>-21855.25</v>
      </c>
      <c r="AQ19" s="55">
        <f>-MAX(0, AQ18 * 'Hypothèses'!I32)</f>
        <v>-23713.375</v>
      </c>
      <c r="AR19" s="55">
        <f>-MAX(0, AR18 * 'Hypothèses'!I32)</f>
        <v>-22075.75</v>
      </c>
    </row>
    <row r="20" spans="2:44" x14ac:dyDescent="0.25">
      <c r="B20" s="67" t="s">
        <v>95</v>
      </c>
      <c r="C20" s="68">
        <f>SUMIFS(I20:AR20,I3:AR3,C3)</f>
        <v>262078.75</v>
      </c>
      <c r="D20" s="68">
        <f>SUMIFS(I20:AR20,I3:AR3,D3)</f>
        <v>384536.25</v>
      </c>
      <c r="E20" s="68">
        <f>SUMIFS(I20:AR20,I3:AR3,E3)</f>
        <v>561246.75</v>
      </c>
      <c r="I20" s="68">
        <f>I18 + I19</f>
        <v>17490</v>
      </c>
      <c r="J20" s="68">
        <f>J18 + J19</f>
        <v>24296.25</v>
      </c>
      <c r="K20" s="68">
        <f>K18 + K19</f>
        <v>37927.5</v>
      </c>
      <c r="L20" s="68">
        <f>L18 + L19</f>
        <v>25233.75</v>
      </c>
      <c r="M20" s="68">
        <f>M18 + M19</f>
        <v>28852.5</v>
      </c>
      <c r="N20" s="68">
        <f>N18 + N19</f>
        <v>35658.75</v>
      </c>
      <c r="O20" s="68">
        <f>O18 + O19</f>
        <v>6052.5</v>
      </c>
      <c r="P20" s="68">
        <f>P18 + P19</f>
        <v>-36755</v>
      </c>
      <c r="Q20" s="68">
        <f>Q18 + Q19</f>
        <v>26715</v>
      </c>
      <c r="R20" s="68">
        <f>R18 + R19</f>
        <v>31008.75</v>
      </c>
      <c r="S20" s="68">
        <f>S18 + S19</f>
        <v>34477.5</v>
      </c>
      <c r="T20" s="68">
        <f>T18 + T19</f>
        <v>31121.25</v>
      </c>
      <c r="U20" s="68">
        <f>U18 + U19</f>
        <v>23213.625</v>
      </c>
      <c r="V20" s="68">
        <f>V18 + V19</f>
        <v>31029</v>
      </c>
      <c r="W20" s="68">
        <f>W18 + W19</f>
        <v>47404.875</v>
      </c>
      <c r="X20" s="68">
        <f>X18 + X19</f>
        <v>33501</v>
      </c>
      <c r="Y20" s="68">
        <f>Y18 + Y19</f>
        <v>37962</v>
      </c>
      <c r="Z20" s="68">
        <f>Z18 + Z19</f>
        <v>45777.375</v>
      </c>
      <c r="AA20" s="68">
        <f>AA18 + AA19</f>
        <v>12024</v>
      </c>
      <c r="AB20" s="68">
        <f>AB18 + AB19</f>
        <v>-35824.5</v>
      </c>
      <c r="AC20" s="68">
        <f>AC18 + AC19</f>
        <v>37141.125</v>
      </c>
      <c r="AD20" s="68">
        <f>AD18 + AD19</f>
        <v>49311.75</v>
      </c>
      <c r="AE20" s="68">
        <f>AE18 + AE19</f>
        <v>53622.75</v>
      </c>
      <c r="AF20" s="68">
        <f>AF18 + AF19</f>
        <v>49373.25</v>
      </c>
      <c r="AG20" s="68">
        <f>AG18 + AG19</f>
        <v>32865</v>
      </c>
      <c r="AH20" s="68">
        <f>AH18 + AH19</f>
        <v>42131.25</v>
      </c>
      <c r="AI20" s="68">
        <f>AI18 + AI19</f>
        <v>61146.375</v>
      </c>
      <c r="AJ20" s="68">
        <f>AJ18 + AJ19</f>
        <v>45503.25</v>
      </c>
      <c r="AK20" s="68">
        <f>AK18 + AK19</f>
        <v>51227.625</v>
      </c>
      <c r="AL20" s="68">
        <f>AL18 + AL19</f>
        <v>60493.875</v>
      </c>
      <c r="AM20" s="68">
        <f>AM18 + AM19</f>
        <v>28774.5</v>
      </c>
      <c r="AN20" s="68">
        <f>AN18 + AN19</f>
        <v>-21847.5</v>
      </c>
      <c r="AO20" s="68">
        <f>AO18 + AO19</f>
        <v>58019.25</v>
      </c>
      <c r="AP20" s="68">
        <f>AP18 + AP19</f>
        <v>65565.75</v>
      </c>
      <c r="AQ20" s="68">
        <f>AQ18 + AQ19</f>
        <v>71140.125</v>
      </c>
      <c r="AR20" s="68">
        <f>AR18 + AR19</f>
        <v>66227.25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1"/>
  </sheetPr>
  <dimension ref="A2:AR23"/>
  <sheetViews>
    <sheetView workbookViewId="0" showGridLines="0" zoomScale="120">
      <pane xSplit="2" ySplit="3" topLeftCell="C4" activePane="bottomRight" state="frozen"/>
      <selection pane="bottomRight"/>
    </sheetView>
  </sheetViews>
  <sheetFormatPr defaultRowHeight="15" outlineLevelRow="0" outlineLevelCol="0" x14ac:dyDescent="55"/>
  <cols>
    <col min="1" max="1" width="2" customWidth="1"/>
    <col min="2" max="2" width="30" customWidth="1"/>
    <col min="3" max="5" width="15" customWidth="1"/>
    <col min="6" max="6" width="3" customWidth="1"/>
    <col min="7" max="7" width="40" customWidth="1"/>
    <col min="8" max="8" width="3" customWidth="1"/>
    <col min="9" max="44" width="12" customWidth="1"/>
  </cols>
  <sheetData>
    <row r="2" spans="1:44" s="50" customFormat="1" x14ac:dyDescent="0.25">
      <c r="A2" s="50" t="s">
        <v>34</v>
      </c>
      <c r="B2" s="51" t="s">
        <v>6</v>
      </c>
      <c r="C2" s="52">
        <v>46387</v>
      </c>
      <c r="D2" s="52">
        <v>46752</v>
      </c>
      <c r="E2" s="52">
        <v>47118</v>
      </c>
      <c r="F2" s="50" t="s">
        <v>34</v>
      </c>
      <c r="G2" s="53" t="s">
        <v>35</v>
      </c>
      <c r="H2" s="50" t="s">
        <v>34</v>
      </c>
      <c r="I2" s="54">
        <v>46053</v>
      </c>
      <c r="J2" s="54">
        <v>46081</v>
      </c>
      <c r="K2" s="54">
        <v>46112</v>
      </c>
      <c r="L2" s="54">
        <v>46142</v>
      </c>
      <c r="M2" s="54">
        <v>46173</v>
      </c>
      <c r="N2" s="54">
        <v>46203</v>
      </c>
      <c r="O2" s="54">
        <v>46234</v>
      </c>
      <c r="P2" s="54">
        <v>46265</v>
      </c>
      <c r="Q2" s="54">
        <v>46295</v>
      </c>
      <c r="R2" s="54">
        <v>46326</v>
      </c>
      <c r="S2" s="54">
        <v>46356</v>
      </c>
      <c r="T2" s="54">
        <v>46387</v>
      </c>
      <c r="U2" s="54">
        <v>46418</v>
      </c>
      <c r="V2" s="54">
        <v>46446</v>
      </c>
      <c r="W2" s="54">
        <v>46477</v>
      </c>
      <c r="X2" s="54">
        <v>46507</v>
      </c>
      <c r="Y2" s="54">
        <v>46538</v>
      </c>
      <c r="Z2" s="54">
        <v>46568</v>
      </c>
      <c r="AA2" s="54">
        <v>46599</v>
      </c>
      <c r="AB2" s="54">
        <v>46630</v>
      </c>
      <c r="AC2" s="54">
        <v>46660</v>
      </c>
      <c r="AD2" s="54">
        <v>46691</v>
      </c>
      <c r="AE2" s="54">
        <v>46721</v>
      </c>
      <c r="AF2" s="54">
        <v>46752</v>
      </c>
      <c r="AG2" s="54">
        <v>46783</v>
      </c>
      <c r="AH2" s="54">
        <v>46812</v>
      </c>
      <c r="AI2" s="54">
        <v>46843</v>
      </c>
      <c r="AJ2" s="54">
        <v>46873</v>
      </c>
      <c r="AK2" s="54">
        <v>46904</v>
      </c>
      <c r="AL2" s="54">
        <v>46934</v>
      </c>
      <c r="AM2" s="54">
        <v>46965</v>
      </c>
      <c r="AN2" s="54">
        <v>46996</v>
      </c>
      <c r="AO2" s="54">
        <v>47026</v>
      </c>
      <c r="AP2" s="54">
        <v>47057</v>
      </c>
      <c r="AQ2" s="54">
        <v>47087</v>
      </c>
      <c r="AR2" s="54">
        <v>47118</v>
      </c>
    </row>
    <row r="3" hidden="1" spans="2:44" x14ac:dyDescent="0.25" outlineLevel="1" collapsed="1">
      <c r="B3" t="s">
        <v>36</v>
      </c>
      <c r="C3">
        <v>1</v>
      </c>
      <c r="D3">
        <v>2</v>
      </c>
      <c r="E3">
        <v>3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2</v>
      </c>
      <c r="V3">
        <v>2</v>
      </c>
      <c r="W3">
        <v>2</v>
      </c>
      <c r="X3">
        <v>2</v>
      </c>
      <c r="Y3">
        <v>2</v>
      </c>
      <c r="Z3">
        <v>2</v>
      </c>
      <c r="AA3">
        <v>2</v>
      </c>
      <c r="AB3">
        <v>2</v>
      </c>
      <c r="AC3">
        <v>2</v>
      </c>
      <c r="AD3">
        <v>2</v>
      </c>
      <c r="AE3">
        <v>2</v>
      </c>
      <c r="AF3">
        <v>2</v>
      </c>
      <c r="AG3">
        <v>3</v>
      </c>
      <c r="AH3">
        <v>3</v>
      </c>
      <c r="AI3">
        <v>3</v>
      </c>
      <c r="AJ3">
        <v>3</v>
      </c>
      <c r="AK3">
        <v>3</v>
      </c>
      <c r="AL3">
        <v>3</v>
      </c>
      <c r="AM3">
        <v>3</v>
      </c>
      <c r="AN3">
        <v>3</v>
      </c>
      <c r="AO3">
        <v>3</v>
      </c>
      <c r="AP3">
        <v>3</v>
      </c>
      <c r="AQ3">
        <v>3</v>
      </c>
      <c r="AR3">
        <v>3</v>
      </c>
    </row>
    <row r="4" spans="2:44" x14ac:dyDescent="0.25">
      <c r="B4" t="s">
        <v>96</v>
      </c>
      <c r="C4" s="55">
        <f>SUMIFS(I4:AR4,I3:AR3,C3)</f>
        <v>2402904</v>
      </c>
      <c r="D4" s="55">
        <f>SUMIFS(I4:AR4,I3:AR3,D3)</f>
        <v>3011460</v>
      </c>
      <c r="E4" s="55">
        <f>SUMIFS(I4:AR4,I3:AR3,E3)</f>
        <v>3712704</v>
      </c>
      <c r="G4" s="56" t="s">
        <v>97</v>
      </c>
      <c r="I4" s="55">
        <f>0 * (1 + 'Hypothèses'!I36) * 'Hypothèses'!I37 + 0 * (1 + 'Hypothèses'!I36) * (1 - 'Hypothèses'!I37) + 'Hypothèses'!I40</f>
        <v>161600</v>
      </c>
      <c r="J4" s="55">
        <f>'Compte de résultat'!I7 * (1 + 'Hypothèses'!I36) * 'Hypothèses'!I37 + 0 * (1 + 'Hypothèses'!I36) * (1 - 'Hypothèses'!I37) + 'Hypothèses'!J40</f>
        <v>209296</v>
      </c>
      <c r="K4" s="55">
        <f>'Compte de résultat'!J7 * (1 + 'Hypothèses'!I36) * 'Hypothèses'!I37 + 'Compte de résultat'!I7 * (1 + 'Hypothèses'!I36) * (1 - 'Hypothèses'!I37) + 'Hypothèses'!K40</f>
        <v>189360</v>
      </c>
      <c r="L4" s="55">
        <f>'Compte de résultat'!K7 * (1 + 'Hypothèses'!I36) * 'Hypothèses'!I37 + 'Compte de résultat'!J7 * (1 + 'Hypothèses'!I36) * (1 - 'Hypothèses'!I37) + 'Hypothèses'!L40</f>
        <v>208704</v>
      </c>
      <c r="M4" s="55">
        <f>'Compte de résultat'!L7 * (1 + 'Hypothèses'!I36) * 'Hypothèses'!I37 + 'Compte de résultat'!K7 * (1 + 'Hypothèses'!I36) * (1 - 'Hypothèses'!I37) + 'Hypothèses'!M40</f>
        <v>211056</v>
      </c>
      <c r="N4" s="55">
        <f>'Compte de résultat'!M7 * (1 + 'Hypothèses'!I36) * 'Hypothèses'!I37 + 'Compte de résultat'!L7 * (1 + 'Hypothèses'!I36) * (1 - 'Hypothèses'!I37) + 'Hypothèses'!N40</f>
        <v>209904</v>
      </c>
      <c r="O4" s="55">
        <f>'Compte de résultat'!N7 * (1 + 'Hypothèses'!I36) * 'Hypothèses'!I37 + 'Compte de résultat'!M7 * (1 + 'Hypothèses'!I36) * (1 - 'Hypothèses'!I37) + 'Hypothèses'!O40</f>
        <v>219600</v>
      </c>
      <c r="P4" s="55">
        <f>'Compte de résultat'!O7 * (1 + 'Hypothèses'!I36) * 'Hypothèses'!I37 + 'Compte de résultat'!N7 * (1 + 'Hypothèses'!I36) * (1 - 'Hypothèses'!I37) + 'Hypothèses'!P40</f>
        <v>198840</v>
      </c>
      <c r="Q4" s="55">
        <f>'Compte de résultat'!P7 * (1 + 'Hypothèses'!I36) * 'Hypothèses'!I37 + 'Compte de résultat'!O7 * (1 + 'Hypothèses'!I36) * (1 - 'Hypothèses'!I37) + 'Hypothèses'!Q40</f>
        <v>145440</v>
      </c>
      <c r="R4" s="55">
        <f>'Compte de résultat'!Q7 * (1 + 'Hypothèses'!I36) * 'Hypothèses'!I37 + 'Compte de résultat'!P7 * (1 + 'Hypothèses'!I36) * (1 - 'Hypothèses'!I37) + 'Hypothèses'!R40</f>
        <v>179520</v>
      </c>
      <c r="S4" s="55">
        <f>'Compte de résultat'!R7 * (1 + 'Hypothèses'!I36) * 'Hypothèses'!I37 + 'Compte de résultat'!Q7 * (1 + 'Hypothèses'!I36) * (1 - 'Hypothèses'!I37) + 'Hypothèses'!S40</f>
        <v>229344</v>
      </c>
      <c r="T4" s="55">
        <f>'Compte de résultat'!S7 * (1 + 'Hypothèses'!I36) * 'Hypothèses'!I37 + 'Compte de résultat'!R7 * (1 + 'Hypothèses'!I36) * (1 - 'Hypothèses'!I37) + 'Hypothèses'!T40</f>
        <v>240240</v>
      </c>
      <c r="U4" s="55">
        <f>'Compte de résultat'!T7 * (1 + 'Hypothèses'!I36) * 'Hypothèses'!I37 + 'Compte de résultat'!S7 * (1 + 'Hypothèses'!I36) * (1 - 'Hypothèses'!I37) + 'Hypothèses'!U40</f>
        <v>238896</v>
      </c>
      <c r="V4" s="55">
        <f>'Compte de résultat'!U7 * (1 + 'Hypothèses'!I36) * 'Hypothèses'!I37 + 'Compte de résultat'!T7 * (1 + 'Hypothèses'!I36) * (1 - 'Hypothèses'!I37) + 'Hypothèses'!V40</f>
        <v>231612</v>
      </c>
      <c r="W4" s="55">
        <f>'Compte de résultat'!V7 * (1 + 'Hypothèses'!I36) * 'Hypothèses'!I37 + 'Compte de résultat'!U7 * (1 + 'Hypothèses'!I36) * (1 - 'Hypothèses'!I37) + 'Hypothèses'!W40</f>
        <v>236664</v>
      </c>
      <c r="X4" s="55">
        <f>'Compte de résultat'!W7 * (1 + 'Hypothèses'!I36) * 'Hypothèses'!I37 + 'Compte de résultat'!V7 * (1 + 'Hypothèses'!I36) * (1 - 'Hypothèses'!I37) + 'Hypothèses'!X40</f>
        <v>259620</v>
      </c>
      <c r="Y4" s="55">
        <f>'Compte de résultat'!X7 * (1 + 'Hypothèses'!I36) * 'Hypothèses'!I37 + 'Compte de résultat'!W7 * (1 + 'Hypothèses'!I36) * (1 - 'Hypothèses'!I37) + 'Hypothèses'!Y40</f>
        <v>262728</v>
      </c>
      <c r="Z4" s="55">
        <f>'Compte de résultat'!Y7 * (1 + 'Hypothèses'!I36) * 'Hypothèses'!I37 + 'Compte de résultat'!X7 * (1 + 'Hypothèses'!I36) * (1 - 'Hypothèses'!I37) + 'Hypothèses'!Z40</f>
        <v>261648</v>
      </c>
      <c r="AA4" s="55">
        <f>'Compte de résultat'!Z7 * (1 + 'Hypothèses'!I36) * 'Hypothèses'!I37 + 'Compte de résultat'!Y7 * (1 + 'Hypothèses'!I36) * (1 - 'Hypothèses'!I37) + 'Hypothèses'!AA40</f>
        <v>272964</v>
      </c>
      <c r="AB4" s="55">
        <f>'Compte de résultat'!AA7 * (1 + 'Hypothèses'!I36) * 'Hypothèses'!I37 + 'Compte de résultat'!Z7 * (1 + 'Hypothèses'!I36) * (1 - 'Hypothèses'!I37) + 'Hypothèses'!AB40</f>
        <v>248544</v>
      </c>
      <c r="AC4" s="55">
        <f>'Compte de résultat'!AB7 * (1 + 'Hypothèses'!I36) * 'Hypothèses'!I37 + 'Compte de résultat'!AA7 * (1 + 'Hypothèses'!I36) * (1 - 'Hypothèses'!I37) + 'Hypothèses'!AC40</f>
        <v>186516</v>
      </c>
      <c r="AD4" s="55">
        <f>'Compte de résultat'!AC7 * (1 + 'Hypothèses'!I36) * 'Hypothèses'!I37 + 'Compte de résultat'!AB7 * (1 + 'Hypothèses'!I36) * (1 - 'Hypothèses'!I37) + 'Hypothèses'!AD40</f>
        <v>227220</v>
      </c>
      <c r="AE4" s="55">
        <f>'Compte de résultat'!AD7 * (1 + 'Hypothèses'!I36) * 'Hypothèses'!I37 + 'Compte de résultat'!AC7 * (1 + 'Hypothèses'!I36) * (1 - 'Hypothèses'!I37) + 'Hypothèses'!AE40</f>
        <v>285984</v>
      </c>
      <c r="AF4" s="55">
        <f>'Compte de résultat'!AE7 * (1 + 'Hypothèses'!I36) * 'Hypothèses'!I37 + 'Compte de résultat'!AD7 * (1 + 'Hypothèses'!I36) * (1 - 'Hypothèses'!I37) + 'Hypothèses'!AF40</f>
        <v>299064</v>
      </c>
      <c r="AG4" s="55">
        <f>'Compte de résultat'!AF7 * (1 + 'Hypothèses'!I36) * 'Hypothèses'!I37 + 'Compte de résultat'!AE7 * (1 + 'Hypothèses'!I36) * (1 - 'Hypothèses'!I37) + 'Hypothèses'!AG40</f>
        <v>297288</v>
      </c>
      <c r="AH4" s="55">
        <f>'Compte de résultat'!AG7 * (1 + 'Hypothèses'!I36) * 'Hypothèses'!I37 + 'Compte de résultat'!AF7 * (1 + 'Hypothèses'!I36) * (1 - 'Hypothèses'!I37) + 'Hypothèses'!AH40</f>
        <v>286992</v>
      </c>
      <c r="AI4" s="55">
        <f>'Compte de résultat'!AH7 * (1 + 'Hypothèses'!I36) * 'Hypothèses'!I37 + 'Compte de résultat'!AG7 * (1 + 'Hypothèses'!I36) * (1 - 'Hypothèses'!I37) + 'Hypothèses'!AI40</f>
        <v>291960</v>
      </c>
      <c r="AJ4" s="55">
        <f>'Compte de résultat'!AI7 * (1 + 'Hypothèses'!I36) * 'Hypothèses'!I37 + 'Compte de résultat'!AH7 * (1 + 'Hypothèses'!I36) * (1 - 'Hypothèses'!I37) + 'Hypothèses'!AJ40</f>
        <v>318600</v>
      </c>
      <c r="AK4" s="55">
        <f>'Compte de résultat'!AJ7 * (1 + 'Hypothèses'!I36) * 'Hypothèses'!I37 + 'Compte de résultat'!AI7 * (1 + 'Hypothèses'!I36) * (1 - 'Hypothèses'!I37) + 'Hypothèses'!AK40</f>
        <v>321816</v>
      </c>
      <c r="AL4" s="55">
        <f>'Compte de résultat'!AK7 * (1 + 'Hypothèses'!I36) * 'Hypothèses'!I37 + 'Compte de résultat'!AJ7 * (1 + 'Hypothèses'!I36) * (1 - 'Hypothèses'!I37) + 'Hypothèses'!AL40</f>
        <v>320904</v>
      </c>
      <c r="AM4" s="55">
        <f>'Compte de résultat'!AL7 * (1 + 'Hypothèses'!I36) * 'Hypothèses'!I37 + 'Compte de résultat'!AK7 * (1 + 'Hypothèses'!I36) * (1 - 'Hypothèses'!I37) + 'Hypothèses'!AM40</f>
        <v>334560</v>
      </c>
      <c r="AN4" s="55">
        <f>'Compte de résultat'!AM7 * (1 + 'Hypothèses'!I36) * 'Hypothèses'!I37 + 'Compte de résultat'!AL7 * (1 + 'Hypothèses'!I36) * (1 - 'Hypothèses'!I37) + 'Hypothèses'!AN40</f>
        <v>306840</v>
      </c>
      <c r="AO4" s="55">
        <f>'Compte de résultat'!AN7 * (1 + 'Hypothèses'!I36) * 'Hypothèses'!I37 + 'Compte de résultat'!AM7 * (1 + 'Hypothèses'!I36) * (1 - 'Hypothèses'!I37) + 'Hypothèses'!AO40</f>
        <v>235440</v>
      </c>
      <c r="AP4" s="55">
        <f>'Compte de résultat'!AO7 * (1 + 'Hypothèses'!I36) * 'Hypothèses'!I37 + 'Compte de résultat'!AN7 * (1 + 'Hypothèses'!I36) * (1 - 'Hypothèses'!I37) + 'Hypothèses'!AP40</f>
        <v>282528</v>
      </c>
      <c r="AQ4" s="55">
        <f>'Compte de résultat'!AP7 * (1 + 'Hypothèses'!I36) * 'Hypothèses'!I37 + 'Compte de résultat'!AO7 * (1 + 'Hypothèses'!I36) * (1 - 'Hypothèses'!I37) + 'Hypothèses'!AQ40</f>
        <v>350136</v>
      </c>
      <c r="AR4" s="55">
        <f>'Compte de résultat'!AQ7 * (1 + 'Hypothèses'!I36) * 'Hypothèses'!I37 + 'Compte de résultat'!AP7 * (1 + 'Hypothèses'!I36) * (1 - 'Hypothèses'!I37) + 'Hypothèses'!AR40</f>
        <v>365640</v>
      </c>
    </row>
    <row r="5" spans="2:44" x14ac:dyDescent="0.25">
      <c r="B5" t="s">
        <v>64</v>
      </c>
      <c r="C5" s="65">
        <f>'Hypothèses'!C30</f>
        <v>0</v>
      </c>
      <c r="D5" s="65">
        <f>'Hypothèses'!D30</f>
        <v>0</v>
      </c>
      <c r="E5" s="65">
        <f>'Hypothèses'!E30</f>
        <v>0</v>
      </c>
      <c r="I5" s="65">
        <f>'Hypothèses'!I30</f>
        <v>0</v>
      </c>
      <c r="J5" s="65">
        <f>'Hypothèses'!J30</f>
        <v>0</v>
      </c>
      <c r="K5" s="65">
        <f>'Hypothèses'!K30</f>
        <v>0</v>
      </c>
      <c r="L5" s="65">
        <f>'Hypothèses'!L30</f>
        <v>0</v>
      </c>
      <c r="M5" s="65">
        <f>'Hypothèses'!M30</f>
        <v>0</v>
      </c>
      <c r="N5" s="65">
        <f>'Hypothèses'!N30</f>
        <v>0</v>
      </c>
      <c r="O5" s="65">
        <f>'Hypothèses'!O30</f>
        <v>0</v>
      </c>
      <c r="P5" s="65">
        <f>'Hypothèses'!P30</f>
        <v>0</v>
      </c>
      <c r="Q5" s="65">
        <f>'Hypothèses'!Q30</f>
        <v>0</v>
      </c>
      <c r="R5" s="65">
        <f>'Hypothèses'!R30</f>
        <v>0</v>
      </c>
      <c r="S5" s="65">
        <f>'Hypothèses'!S30</f>
        <v>0</v>
      </c>
      <c r="T5" s="65">
        <f>'Hypothèses'!T30</f>
        <v>0</v>
      </c>
      <c r="U5" s="65">
        <f>'Hypothèses'!U30</f>
        <v>0</v>
      </c>
      <c r="V5" s="65">
        <f>'Hypothèses'!V30</f>
        <v>0</v>
      </c>
      <c r="W5" s="65">
        <f>'Hypothèses'!W30</f>
        <v>0</v>
      </c>
      <c r="X5" s="65">
        <f>'Hypothèses'!X30</f>
        <v>0</v>
      </c>
      <c r="Y5" s="65">
        <f>'Hypothèses'!Y30</f>
        <v>0</v>
      </c>
      <c r="Z5" s="65">
        <f>'Hypothèses'!Z30</f>
        <v>0</v>
      </c>
      <c r="AA5" s="65">
        <f>'Hypothèses'!AA30</f>
        <v>0</v>
      </c>
      <c r="AB5" s="65">
        <f>'Hypothèses'!AB30</f>
        <v>0</v>
      </c>
      <c r="AC5" s="65">
        <f>'Hypothèses'!AC30</f>
        <v>0</v>
      </c>
      <c r="AD5" s="65">
        <f>'Hypothèses'!AD30</f>
        <v>0</v>
      </c>
      <c r="AE5" s="65">
        <f>'Hypothèses'!AE30</f>
        <v>0</v>
      </c>
      <c r="AF5" s="65">
        <f>'Hypothèses'!AF30</f>
        <v>0</v>
      </c>
      <c r="AG5" s="65">
        <f>'Hypothèses'!AG30</f>
        <v>0</v>
      </c>
      <c r="AH5" s="65">
        <f>'Hypothèses'!AH30</f>
        <v>0</v>
      </c>
      <c r="AI5" s="65">
        <f>'Hypothèses'!AI30</f>
        <v>0</v>
      </c>
      <c r="AJ5" s="65">
        <f>'Hypothèses'!AJ30</f>
        <v>0</v>
      </c>
      <c r="AK5" s="65">
        <f>'Hypothèses'!AK30</f>
        <v>0</v>
      </c>
      <c r="AL5" s="65">
        <f>'Hypothèses'!AL30</f>
        <v>0</v>
      </c>
      <c r="AM5" s="65">
        <f>'Hypothèses'!AM30</f>
        <v>0</v>
      </c>
      <c r="AN5" s="65">
        <f>'Hypothèses'!AN30</f>
        <v>0</v>
      </c>
      <c r="AO5" s="65">
        <f>'Hypothèses'!AO30</f>
        <v>0</v>
      </c>
      <c r="AP5" s="65">
        <f>'Hypothèses'!AP30</f>
        <v>0</v>
      </c>
      <c r="AQ5" s="65">
        <f>'Hypothèses'!AQ30</f>
        <v>0</v>
      </c>
      <c r="AR5" s="65">
        <f>'Hypothèses'!AR30</f>
        <v>0</v>
      </c>
    </row>
    <row r="6" spans="2:44" x14ac:dyDescent="0.25">
      <c r="B6" t="s">
        <v>98</v>
      </c>
      <c r="C6" s="55">
        <f>SUMIFS(I6:AR6,I3:AR3,C3)</f>
        <v>-556326</v>
      </c>
      <c r="D6" s="55">
        <f>SUMIFS(I6:AR6,I3:AR3,D3)</f>
        <v>-601811.4</v>
      </c>
      <c r="E6" s="55">
        <f>SUMIFS(I6:AR6,I3:AR3,E3)</f>
        <v>-654576.6</v>
      </c>
      <c r="I6" s="55">
        <f>(0 + 0) * (1 + 'Hypothèses'!I36) + 'Hypothèses'!I41</f>
        <v>-54000</v>
      </c>
      <c r="J6" s="55">
        <f>('Compte de résultat'!I8 + 'Compte de résultat'!I9) * (1 + 'Hypothèses'!I36) + 'Hypothèses'!J41</f>
        <v>-44316</v>
      </c>
      <c r="K6" s="55">
        <f>('Compte de résultat'!J8 + 'Compte de résultat'!J9) * (1 + 'Hypothèses'!I36) + 'Hypothèses'!K41</f>
        <v>-45438</v>
      </c>
      <c r="L6" s="55">
        <f>('Compte de résultat'!K8 + 'Compte de résultat'!K9) * (1 + 'Hypothèses'!I36) + 'Hypothèses'!L41</f>
        <v>-47880</v>
      </c>
      <c r="M6" s="55">
        <f>('Compte de résultat'!L8 + 'Compte de résultat'!L9) * (1 + 'Hypothèses'!I36) + 'Hypothèses'!M41</f>
        <v>-46362</v>
      </c>
      <c r="N6" s="55">
        <f>('Compte de résultat'!M8 + 'Compte de résultat'!M9) * (1 + 'Hypothèses'!I36) + 'Hypothèses'!N41</f>
        <v>-46824</v>
      </c>
      <c r="O6" s="55">
        <f>('Compte de résultat'!N8 + 'Compte de résultat'!N9) * (1 + 'Hypothèses'!I36) + 'Hypothèses'!O41</f>
        <v>-47946</v>
      </c>
      <c r="P6" s="55">
        <f>('Compte de résultat'!O8 + 'Compte de résultat'!O9) * (1 + 'Hypothèses'!I36) + 'Hypothèses'!P41</f>
        <v>-43128</v>
      </c>
      <c r="Q6" s="55">
        <f>('Compte de résultat'!P8 + 'Compte de résultat'!P9) * (1 + 'Hypothèses'!I36) + 'Hypothèses'!Q41</f>
        <v>-36330</v>
      </c>
      <c r="R6" s="55">
        <f>('Compte de résultat'!Q8 + 'Compte de résultat'!Q9) * (1 + 'Hypothèses'!I36) + 'Hypothèses'!R41</f>
        <v>-46692</v>
      </c>
      <c r="S6" s="55">
        <f>('Compte de résultat'!R8 + 'Compte de résultat'!R9) * (1 + 'Hypothèses'!I36) + 'Hypothèses'!S41</f>
        <v>-48474</v>
      </c>
      <c r="T6" s="55">
        <f>('Compte de résultat'!S8 + 'Compte de résultat'!S9) * (1 + 'Hypothèses'!I36) + 'Hypothèses'!T41</f>
        <v>-48936</v>
      </c>
      <c r="U6" s="55">
        <f>('Compte de résultat'!T8 + 'Compte de résultat'!T9) * (1 + 'Hypothèses'!I36) + 'Hypothèses'!U41</f>
        <v>-48078</v>
      </c>
      <c r="V6" s="55">
        <f>('Compte de résultat'!U8 + 'Compte de résultat'!U9) * (1 + 'Hypothèses'!I36) + 'Hypothèses'!V41</f>
        <v>-48802.2</v>
      </c>
      <c r="W6" s="55">
        <f>('Compte de résultat'!V8 + 'Compte de résultat'!V9) * (1 + 'Hypothèses'!I36) + 'Hypothèses'!W41</f>
        <v>-50049.6</v>
      </c>
      <c r="X6" s="55">
        <f>('Compte de résultat'!W8 + 'Compte de résultat'!W9) * (1 + 'Hypothèses'!I36) + 'Hypothèses'!X41</f>
        <v>-52960.2</v>
      </c>
      <c r="Y6" s="55">
        <f>('Compte de résultat'!X8 + 'Compte de résultat'!X9) * (1 + 'Hypothèses'!I36) + 'Hypothèses'!Y41</f>
        <v>-51158.4</v>
      </c>
      <c r="Z6" s="55">
        <f>('Compte de résultat'!Y8 + 'Compte de résultat'!Y9) * (1 + 'Hypothèses'!I36) + 'Hypothèses'!Z41</f>
        <v>-51712.799999999996</v>
      </c>
      <c r="AA6" s="55">
        <f>('Compte de résultat'!Z8 + 'Compte de résultat'!Z9) * (1 + 'Hypothèses'!I36) + 'Hypothèses'!AA41</f>
        <v>-52960.2</v>
      </c>
      <c r="AB6" s="55">
        <f>('Compte de résultat'!AA8 + 'Compte de résultat'!AA9) * (1 + 'Hypothèses'!I36) + 'Hypothèses'!AB41</f>
        <v>-47277.6</v>
      </c>
      <c r="AC6" s="55">
        <f>('Compte de résultat'!AB8 + 'Compte de résultat'!AB9) * (1 + 'Hypothèses'!I36) + 'Hypothèses'!AC41</f>
        <v>-39377.4</v>
      </c>
      <c r="AD6" s="55">
        <f>('Compte de résultat'!AC8 + 'Compte de résultat'!AC9) * (1 + 'Hypothèses'!I36) + 'Hypothèses'!AD41</f>
        <v>-51574.2</v>
      </c>
      <c r="AE6" s="55">
        <f>('Compte de résultat'!AD8 + 'Compte de résultat'!AD9) * (1 + 'Hypothèses'!I36) + 'Hypothèses'!AE41</f>
        <v>-53653.2</v>
      </c>
      <c r="AF6" s="55">
        <f>('Compte de résultat'!AE8 + 'Compte de résultat'!AE9) * (1 + 'Hypothèses'!I36) + 'Hypothèses'!AF41</f>
        <v>-54207.6</v>
      </c>
      <c r="AG6" s="55">
        <f>('Compte de résultat'!AF8 + 'Compte de résultat'!AF9) * (1 + 'Hypothèses'!I36) + 'Hypothèses'!AG41</f>
        <v>-53098.799999999996</v>
      </c>
      <c r="AH6" s="55">
        <f>('Compte de résultat'!AG8 + 'Compte de résultat'!AG9) * (1 + 'Hypothèses'!I36) + 'Hypothèses'!AH41</f>
        <v>-53004</v>
      </c>
      <c r="AI6" s="55">
        <f>('Compte de résultat'!AH8 + 'Compte de résultat'!AH9) * (1 + 'Hypothèses'!I36) + 'Hypothèses'!AI41</f>
        <v>-54390</v>
      </c>
      <c r="AJ6" s="55">
        <f>('Compte de résultat'!AI8 + 'Compte de résultat'!AI9) * (1 + 'Hypothèses'!I36) + 'Hypothèses'!AJ41</f>
        <v>-57577.799999999996</v>
      </c>
      <c r="AK6" s="55">
        <f>('Compte de résultat'!AJ8 + 'Compte de résultat'!AJ9) * (1 + 'Hypothèses'!I36) + 'Hypothèses'!AK41</f>
        <v>-55498.799999999996</v>
      </c>
      <c r="AL6" s="55">
        <f>('Compte de résultat'!AK8 + 'Compte de résultat'!AK9) * (1 + 'Hypothèses'!I36) + 'Hypothèses'!AL41</f>
        <v>-56191.799999999996</v>
      </c>
      <c r="AM6" s="55">
        <f>('Compte de résultat'!AL8 + 'Compte de résultat'!AL9) * (1 + 'Hypothèses'!I36) + 'Hypothèses'!AM41</f>
        <v>-57577.799999999996</v>
      </c>
      <c r="AN6" s="55">
        <f>('Compte de résultat'!AM8 + 'Compte de résultat'!AM9) * (1 + 'Hypothèses'!I36) + 'Hypothèses'!AN41</f>
        <v>-51340.799999999996</v>
      </c>
      <c r="AO6" s="55">
        <f>('Compte de résultat'!AN8 + 'Compte de résultat'!AN9) * (1 + 'Hypothèses'!I36) + 'Hypothèses'!AO41</f>
        <v>-42609</v>
      </c>
      <c r="AP6" s="55">
        <f>('Compte de résultat'!AO8 + 'Compte de résultat'!AO9) * (1 + 'Hypothèses'!I36) + 'Hypothèses'!AP41</f>
        <v>-56053.2</v>
      </c>
      <c r="AQ6" s="55">
        <f>('Compte de résultat'!AP8 + 'Compte de résultat'!AP9) * (1 + 'Hypothèses'!I36) + 'Hypothèses'!AQ41</f>
        <v>-58270.799999999996</v>
      </c>
      <c r="AR6" s="55">
        <f>('Compte de résultat'!AQ8 + 'Compte de résultat'!AQ9) * (1 + 'Hypothèses'!I36) + 'Hypothèses'!AR41</f>
        <v>-58963.799999999996</v>
      </c>
    </row>
    <row r="7" spans="2:44" x14ac:dyDescent="0.25">
      <c r="B7" t="s">
        <v>99</v>
      </c>
      <c r="C7" s="55">
        <f>SUMIFS(I7:AR7,I3:AR3,C3)</f>
        <v>-1200000</v>
      </c>
      <c r="D7" s="55">
        <f>SUMIFS(I7:AR7,I3:AR3,D3)</f>
        <v>-1500600</v>
      </c>
      <c r="E7" s="55">
        <f>SUMIFS(I7:AR7,I3:AR3,E3)</f>
        <v>-1814400</v>
      </c>
      <c r="I7" s="55">
        <f>'Compte de résultat'!I10 * 1</f>
        <v>-88000</v>
      </c>
      <c r="J7" s="55">
        <f>'Compte de résultat'!J10 * 1</f>
        <v>-88000</v>
      </c>
      <c r="K7" s="55">
        <f>'Compte de résultat'!K10 * 1</f>
        <v>-88000</v>
      </c>
      <c r="L7" s="55">
        <f>'Compte de résultat'!L10 * 1</f>
        <v>-96000</v>
      </c>
      <c r="M7" s="55">
        <f>'Compte de résultat'!M10 * 1</f>
        <v>-96000</v>
      </c>
      <c r="N7" s="55">
        <f>'Compte de résultat'!N10 * 1</f>
        <v>-96000</v>
      </c>
      <c r="O7" s="55">
        <f>'Compte de résultat'!O10 * 1</f>
        <v>-104000</v>
      </c>
      <c r="P7" s="55">
        <f>'Compte de résultat'!P10 * 1</f>
        <v>-104000</v>
      </c>
      <c r="Q7" s="55">
        <f>'Compte de résultat'!Q10 * 1</f>
        <v>-104000</v>
      </c>
      <c r="R7" s="55">
        <f>'Compte de résultat'!R10 * 1</f>
        <v>-112000</v>
      </c>
      <c r="S7" s="55">
        <f>'Compte de résultat'!S10 * 1</f>
        <v>-112000</v>
      </c>
      <c r="T7" s="55">
        <f>'Compte de résultat'!T10 * 1</f>
        <v>-112000</v>
      </c>
      <c r="U7" s="55">
        <f>'Compte de résultat'!U10 * 1</f>
        <v>-114800</v>
      </c>
      <c r="V7" s="55">
        <f>'Compte de résultat'!V10 * 1</f>
        <v>-114800</v>
      </c>
      <c r="W7" s="55">
        <f>'Compte de résultat'!W10 * 1</f>
        <v>-114800</v>
      </c>
      <c r="X7" s="55">
        <f>'Compte de résultat'!X10 * 1</f>
        <v>-123000</v>
      </c>
      <c r="Y7" s="55">
        <f>'Compte de résultat'!Y10 * 1</f>
        <v>-123000</v>
      </c>
      <c r="Z7" s="55">
        <f>'Compte de résultat'!Z10 * 1</f>
        <v>-123000</v>
      </c>
      <c r="AA7" s="55">
        <f>'Compte de résultat'!AA10 * 1</f>
        <v>-131200</v>
      </c>
      <c r="AB7" s="55">
        <f>'Compte de résultat'!AB10 * 1</f>
        <v>-131200</v>
      </c>
      <c r="AC7" s="55">
        <f>'Compte de résultat'!AC10 * 1</f>
        <v>-131200</v>
      </c>
      <c r="AD7" s="55">
        <f>'Compte de résultat'!AD10 * 1</f>
        <v>-131200</v>
      </c>
      <c r="AE7" s="55">
        <f>'Compte de résultat'!AE10 * 1</f>
        <v>-131200</v>
      </c>
      <c r="AF7" s="55">
        <f>'Compte de résultat'!AF10 * 1</f>
        <v>-131200</v>
      </c>
      <c r="AG7" s="55">
        <f>'Compte de résultat'!AG10 * 1</f>
        <v>-142800</v>
      </c>
      <c r="AH7" s="55">
        <f>'Compte de résultat'!AH10 * 1</f>
        <v>-142800</v>
      </c>
      <c r="AI7" s="55">
        <f>'Compte de résultat'!AI10 * 1</f>
        <v>-142800</v>
      </c>
      <c r="AJ7" s="55">
        <f>'Compte de résultat'!AJ10 * 1</f>
        <v>-151200</v>
      </c>
      <c r="AK7" s="55">
        <f>'Compte de résultat'!AK10 * 1</f>
        <v>-151200</v>
      </c>
      <c r="AL7" s="55">
        <f>'Compte de résultat'!AL10 * 1</f>
        <v>-151200</v>
      </c>
      <c r="AM7" s="55">
        <f>'Compte de résultat'!AM10 * 1</f>
        <v>-151200</v>
      </c>
      <c r="AN7" s="55">
        <f>'Compte de résultat'!AN10 * 1</f>
        <v>-151200</v>
      </c>
      <c r="AO7" s="55">
        <f>'Compte de résultat'!AO10 * 1</f>
        <v>-151200</v>
      </c>
      <c r="AP7" s="55">
        <f>'Compte de résultat'!AP10 * 1</f>
        <v>-159600</v>
      </c>
      <c r="AQ7" s="55">
        <f>'Compte de résultat'!AQ10 * 1</f>
        <v>-159600</v>
      </c>
      <c r="AR7" s="55">
        <f>'Compte de résultat'!AR10 * 1</f>
        <v>-159600</v>
      </c>
    </row>
    <row r="8" spans="2:44" x14ac:dyDescent="0.25">
      <c r="B8" t="s">
        <v>100</v>
      </c>
      <c r="C8" s="55">
        <f>SUMIFS(I8:AR8,I3:AR3,C3)</f>
        <v>-289339</v>
      </c>
      <c r="D8" s="55">
        <f>SUMIFS(I8:AR8,I3:AR3,D3)</f>
        <v>-405568.10000000003</v>
      </c>
      <c r="E8" s="55">
        <f>SUMIFS(I8:AR8,I3:AR3,E3)</f>
        <v>-514183.9000000001</v>
      </c>
      <c r="I8" s="55">
        <f>-(0 + 0 + 0) * 'Hypothèses'!I36</f>
        <v>0</v>
      </c>
      <c r="J8" s="55">
        <f>-('Compte de résultat'!I7 + 'Compte de résultat'!I8 + 'Compte de résultat'!I9) * 'Hypothèses'!I36</f>
        <v>-22974</v>
      </c>
      <c r="K8" s="55">
        <f>-('Compte de résultat'!J7 + 'Compte de résultat'!J8 + 'Compte de résultat'!J9) * 'Hypothèses'!I36</f>
        <v>-24787</v>
      </c>
      <c r="L8" s="55">
        <f>-('Compte de résultat'!K7 + 'Compte de résultat'!K8 + 'Compte de résultat'!K9) * 'Hypothèses'!I36</f>
        <v>-28420</v>
      </c>
      <c r="M8" s="55">
        <f>-('Compte de résultat'!L7 + 'Compte de résultat'!L8 + 'Compte de résultat'!L9) * 'Hypothèses'!I36</f>
        <v>-26633</v>
      </c>
      <c r="N8" s="55">
        <f>-('Compte de résultat'!M7 + 'Compte de résultat'!M8 + 'Compte de résultat'!M9) * 'Hypothèses'!I36</f>
        <v>-27596</v>
      </c>
      <c r="O8" s="55">
        <f>-('Compte de résultat'!N7 + 'Compte de résultat'!N8 + 'Compte de résultat'!N9) * 'Hypothèses'!I36</f>
        <v>-29409</v>
      </c>
      <c r="P8" s="55">
        <f>-('Compte de résultat'!O7 + 'Compte de résultat'!O8 + 'Compte de résultat'!O9) * 'Hypothèses'!I36</f>
        <v>-23112</v>
      </c>
      <c r="Q8" s="55">
        <f>-('Compte de résultat'!P7 + 'Compte de résultat'!P8 + 'Compte de résultat'!P9) * 'Hypothèses'!I36</f>
        <v>-14145</v>
      </c>
      <c r="R8" s="55">
        <f>-('Compte de résultat'!Q7 + 'Compte de résultat'!Q8 + 'Compte de résultat'!Q9) * 'Hypothèses'!I36</f>
        <v>-28618</v>
      </c>
      <c r="S8" s="55">
        <f>-('Compte de résultat'!R7 + 'Compte de résultat'!R8 + 'Compte de résultat'!R9) * 'Hypothèses'!I36</f>
        <v>-31361</v>
      </c>
      <c r="T8" s="55">
        <f>-('Compte de résultat'!S7 + 'Compte de résultat'!S8 + 'Compte de résultat'!S9) * 'Hypothèses'!I36</f>
        <v>-32284</v>
      </c>
      <c r="U8" s="55">
        <f>-('Compte de résultat'!T7 + 'Compte de résultat'!T8 + 'Compte de résultat'!T9) * 'Hypothèses'!I36</f>
        <v>-31387</v>
      </c>
      <c r="V8" s="55">
        <f>-('Compte de résultat'!U7 + 'Compte de résultat'!U8 + 'Compte de résultat'!U9) * 'Hypothèses'!I36</f>
        <v>-29936.300000000003</v>
      </c>
      <c r="W8" s="55">
        <f>-('Compte de résultat'!V7 + 'Compte de résultat'!V8 + 'Compte de résultat'!V9) * 'Hypothèses'!I36</f>
        <v>-32018.4</v>
      </c>
      <c r="X8" s="55">
        <f>-('Compte de résultat'!W7 + 'Compte de résultat'!W8 + 'Compte de résultat'!W9) * 'Hypothèses'!I36</f>
        <v>-36383.3</v>
      </c>
      <c r="Y8" s="55">
        <f>-('Compte de résultat'!X7 + 'Compte de résultat'!X8 + 'Compte de résultat'!X9) * 'Hypothèses'!I36</f>
        <v>-34313.6</v>
      </c>
      <c r="Z8" s="55">
        <f>-('Compte de résultat'!Y7 + 'Compte de résultat'!Y8 + 'Compte de résultat'!Y9) * 'Hypothèses'!I36</f>
        <v>-35501.200000000004</v>
      </c>
      <c r="AA8" s="55">
        <f>-('Compte de résultat'!Z7 + 'Compte de résultat'!Z8 + 'Compte de résultat'!Z9) * 'Hypothèses'!I36</f>
        <v>-37583.3</v>
      </c>
      <c r="AB8" s="55">
        <f>-('Compte de résultat'!AA7 + 'Compte de résultat'!AA8 + 'Compte de résultat'!AA9) * 'Hypothèses'!I36</f>
        <v>-30220.4</v>
      </c>
      <c r="AC8" s="55">
        <f>-('Compte de résultat'!AB7 + 'Compte de résultat'!AB8 + 'Compte de résultat'!AB9) * 'Hypothèses'!I36</f>
        <v>-19847.100000000002</v>
      </c>
      <c r="AD8" s="55">
        <f>-('Compte de résultat'!AC7 + 'Compte de résultat'!AC8 + 'Compte de résultat'!AC9) * 'Hypothèses'!I36</f>
        <v>-36914.3</v>
      </c>
      <c r="AE8" s="55">
        <f>-('Compte de résultat'!AD7 + 'Compte de résultat'!AD8 + 'Compte de résultat'!AD9) * 'Hypothèses'!I36</f>
        <v>-40157.8</v>
      </c>
      <c r="AF8" s="55">
        <f>-('Compte de résultat'!AE7 + 'Compte de résultat'!AE8 + 'Compte de résultat'!AE9) * 'Hypothèses'!I36</f>
        <v>-41305.4</v>
      </c>
      <c r="AG8" s="55">
        <f>-('Compte de résultat'!AF7 + 'Compte de résultat'!AF8 + 'Compte de résultat'!AF9) * 'Hypothèses'!I36</f>
        <v>-40170.200000000004</v>
      </c>
      <c r="AH8" s="55">
        <f>-('Compte de résultat'!AG7 + 'Compte de résultat'!AG8 + 'Compte de résultat'!AG9) * 'Hypothèses'!I36</f>
        <v>-38206</v>
      </c>
      <c r="AI8" s="55">
        <f>-('Compte de résultat'!AH7 + 'Compte de résultat'!AH8 + 'Compte de résultat'!AH9) * 'Hypothèses'!I36</f>
        <v>-40675</v>
      </c>
      <c r="AJ8" s="55">
        <f>-('Compte de résultat'!AI7 + 'Compte de résultat'!AI8 + 'Compte de résultat'!AI9) * 'Hypothèses'!I36</f>
        <v>-45743.700000000004</v>
      </c>
      <c r="AK8" s="55">
        <f>-('Compte de résultat'!AJ7 + 'Compte de résultat'!AJ8 + 'Compte de résultat'!AJ9) * 'Hypothèses'!I36</f>
        <v>-43250.200000000004</v>
      </c>
      <c r="AL8" s="55">
        <f>-('Compte de résultat'!AK7 + 'Compte de résultat'!AK8 + 'Compte de résultat'!AK9) * 'Hypothèses'!I36</f>
        <v>-44774.700000000004</v>
      </c>
      <c r="AM8" s="55">
        <f>-('Compte de résultat'!AL7 + 'Compte de résultat'!AL8 + 'Compte de résultat'!AL9) * 'Hypothèses'!I36</f>
        <v>-47243.700000000004</v>
      </c>
      <c r="AN8" s="55">
        <f>-('Compte de résultat'!AM7 + 'Compte de résultat'!AM8 + 'Compte de résultat'!AM9) * 'Hypothèses'!I36</f>
        <v>-38783.200000000004</v>
      </c>
      <c r="AO8" s="55">
        <f>-('Compte de résultat'!AN7 + 'Compte de résultat'!AN8 + 'Compte de résultat'!AN9) * 'Hypothèses'!I36</f>
        <v>-26738.5</v>
      </c>
      <c r="AP8" s="55">
        <f>-('Compte de résultat'!AO7 + 'Compte de résultat'!AO8 + 'Compte de résultat'!AO9) * 'Hypothèses'!I36</f>
        <v>-46577.8</v>
      </c>
      <c r="AQ8" s="55">
        <f>-('Compte de résultat'!AP7 + 'Compte de résultat'!AP8 + 'Compte de résultat'!AP9) * 'Hypothèses'!I36</f>
        <v>-50268.200000000004</v>
      </c>
      <c r="AR8" s="55">
        <f>-('Compte de résultat'!AQ7 + 'Compte de résultat'!AQ8 + 'Compte de résultat'!AQ9) * 'Hypothèses'!I36</f>
        <v>-51752.700000000004</v>
      </c>
    </row>
    <row r="9" spans="2:44" x14ac:dyDescent="0.25">
      <c r="B9" t="s">
        <v>101</v>
      </c>
      <c r="C9" s="55">
        <f>SUMIFS(I9:AR9,I3:AR3,C3)</f>
        <v>-12000</v>
      </c>
      <c r="D9" s="55">
        <f>SUMIFS(I9:AR9,I3:AR3,D3)</f>
        <v>-12000</v>
      </c>
      <c r="E9" s="55">
        <f>SUMIFS(I9:AR9,I3:AR3,E3)</f>
        <v>-12000</v>
      </c>
      <c r="I9" s="55">
        <f>'Compte de résultat'!I11 * 1</f>
        <v>-1000</v>
      </c>
      <c r="J9" s="55">
        <f>'Compte de résultat'!J11 * 1</f>
        <v>-1000</v>
      </c>
      <c r="K9" s="55">
        <f>'Compte de résultat'!K11 * 1</f>
        <v>-1000</v>
      </c>
      <c r="L9" s="55">
        <f>'Compte de résultat'!L11 * 1</f>
        <v>-1000</v>
      </c>
      <c r="M9" s="55">
        <f>'Compte de résultat'!M11 * 1</f>
        <v>-1000</v>
      </c>
      <c r="N9" s="55">
        <f>'Compte de résultat'!N11 * 1</f>
        <v>-1000</v>
      </c>
      <c r="O9" s="55">
        <f>'Compte de résultat'!O11 * 1</f>
        <v>-1000</v>
      </c>
      <c r="P9" s="55">
        <f>'Compte de résultat'!P11 * 1</f>
        <v>-1000</v>
      </c>
      <c r="Q9" s="55">
        <f>'Compte de résultat'!Q11 * 1</f>
        <v>-1000</v>
      </c>
      <c r="R9" s="55">
        <f>'Compte de résultat'!R11 * 1</f>
        <v>-1000</v>
      </c>
      <c r="S9" s="55">
        <f>'Compte de résultat'!S11 * 1</f>
        <v>-1000</v>
      </c>
      <c r="T9" s="55">
        <f>'Compte de résultat'!T11 * 1</f>
        <v>-1000</v>
      </c>
      <c r="U9" s="55">
        <f>'Compte de résultat'!U11 * 1</f>
        <v>-1000</v>
      </c>
      <c r="V9" s="55">
        <f>'Compte de résultat'!V11 * 1</f>
        <v>-1000</v>
      </c>
      <c r="W9" s="55">
        <f>'Compte de résultat'!W11 * 1</f>
        <v>-1000</v>
      </c>
      <c r="X9" s="55">
        <f>'Compte de résultat'!X11 * 1</f>
        <v>-1000</v>
      </c>
      <c r="Y9" s="55">
        <f>'Compte de résultat'!Y11 * 1</f>
        <v>-1000</v>
      </c>
      <c r="Z9" s="55">
        <f>'Compte de résultat'!Z11 * 1</f>
        <v>-1000</v>
      </c>
      <c r="AA9" s="55">
        <f>'Compte de résultat'!AA11 * 1</f>
        <v>-1000</v>
      </c>
      <c r="AB9" s="55">
        <f>'Compte de résultat'!AB11 * 1</f>
        <v>-1000</v>
      </c>
      <c r="AC9" s="55">
        <f>'Compte de résultat'!AC11 * 1</f>
        <v>-1000</v>
      </c>
      <c r="AD9" s="55">
        <f>'Compte de résultat'!AD11 * 1</f>
        <v>-1000</v>
      </c>
      <c r="AE9" s="55">
        <f>'Compte de résultat'!AE11 * 1</f>
        <v>-1000</v>
      </c>
      <c r="AF9" s="55">
        <f>'Compte de résultat'!AF11 * 1</f>
        <v>-1000</v>
      </c>
      <c r="AG9" s="55">
        <f>'Compte de résultat'!AG11 * 1</f>
        <v>-1000</v>
      </c>
      <c r="AH9" s="55">
        <f>'Compte de résultat'!AH11 * 1</f>
        <v>-1000</v>
      </c>
      <c r="AI9" s="55">
        <f>'Compte de résultat'!AI11 * 1</f>
        <v>-1000</v>
      </c>
      <c r="AJ9" s="55">
        <f>'Compte de résultat'!AJ11 * 1</f>
        <v>-1000</v>
      </c>
      <c r="AK9" s="55">
        <f>'Compte de résultat'!AK11 * 1</f>
        <v>-1000</v>
      </c>
      <c r="AL9" s="55">
        <f>'Compte de résultat'!AL11 * 1</f>
        <v>-1000</v>
      </c>
      <c r="AM9" s="55">
        <f>'Compte de résultat'!AM11 * 1</f>
        <v>-1000</v>
      </c>
      <c r="AN9" s="55">
        <f>'Compte de résultat'!AN11 * 1</f>
        <v>-1000</v>
      </c>
      <c r="AO9" s="55">
        <f>'Compte de résultat'!AO11 * 1</f>
        <v>-1000</v>
      </c>
      <c r="AP9" s="55">
        <f>'Compte de résultat'!AP11 * 1</f>
        <v>-1000</v>
      </c>
      <c r="AQ9" s="55">
        <f>'Compte de résultat'!AQ11 * 1</f>
        <v>-1000</v>
      </c>
      <c r="AR9" s="55">
        <f>'Compte de résultat'!AR11 * 1</f>
        <v>-1000</v>
      </c>
    </row>
    <row r="10" spans="2:44" x14ac:dyDescent="0.25">
      <c r="B10" t="s">
        <v>102</v>
      </c>
      <c r="C10" s="55">
        <f>SUMIFS(I10:AR10,I3:AR3,C3)</f>
        <v>-35940</v>
      </c>
      <c r="D10" s="55">
        <f>SUMIFS(I10:AR10,I3:AR3,D3)</f>
        <v>-34500</v>
      </c>
      <c r="E10" s="55">
        <f>SUMIFS(I10:AR10,I3:AR3,E3)</f>
        <v>-33060</v>
      </c>
      <c r="I10" s="55">
        <f>-'Hypothèses'!I38 - 'Hypothèses'!I31</f>
        <v>-3050</v>
      </c>
      <c r="J10" s="55">
        <f>-'Hypothèses'!J38 - 'Hypothèses'!J31</f>
        <v>-3040</v>
      </c>
      <c r="K10" s="55">
        <f>-'Hypothèses'!K38 - 'Hypothèses'!K31</f>
        <v>-3030</v>
      </c>
      <c r="L10" s="55">
        <f>-'Hypothèses'!L38 - 'Hypothèses'!L31</f>
        <v>-3020</v>
      </c>
      <c r="M10" s="55">
        <f>-'Hypothèses'!M38 - 'Hypothèses'!M31</f>
        <v>-3010</v>
      </c>
      <c r="N10" s="55">
        <f>-'Hypothèses'!N38 - 'Hypothèses'!N31</f>
        <v>-3000</v>
      </c>
      <c r="O10" s="55">
        <f>-'Hypothèses'!O38 - 'Hypothèses'!O31</f>
        <v>-2990</v>
      </c>
      <c r="P10" s="55">
        <f>-'Hypothèses'!P38 - 'Hypothèses'!P31</f>
        <v>-2980</v>
      </c>
      <c r="Q10" s="55">
        <f>-'Hypothèses'!Q38 - 'Hypothèses'!Q31</f>
        <v>-2970</v>
      </c>
      <c r="R10" s="55">
        <f>-'Hypothèses'!R38 - 'Hypothèses'!R31</f>
        <v>-2960</v>
      </c>
      <c r="S10" s="55">
        <f>-'Hypothèses'!S38 - 'Hypothèses'!S31</f>
        <v>-2950</v>
      </c>
      <c r="T10" s="55">
        <f>-'Hypothèses'!T38 - 'Hypothèses'!T31</f>
        <v>-2940</v>
      </c>
      <c r="U10" s="55">
        <f>-'Hypothèses'!U38 - 'Hypothèses'!U31</f>
        <v>-2930</v>
      </c>
      <c r="V10" s="55">
        <f>-'Hypothèses'!V38 - 'Hypothèses'!V31</f>
        <v>-2920</v>
      </c>
      <c r="W10" s="55">
        <f>-'Hypothèses'!W38 - 'Hypothèses'!W31</f>
        <v>-2910</v>
      </c>
      <c r="X10" s="55">
        <f>-'Hypothèses'!X38 - 'Hypothèses'!X31</f>
        <v>-2900</v>
      </c>
      <c r="Y10" s="55">
        <f>-'Hypothèses'!Y38 - 'Hypothèses'!Y31</f>
        <v>-2890</v>
      </c>
      <c r="Z10" s="55">
        <f>-'Hypothèses'!Z38 - 'Hypothèses'!Z31</f>
        <v>-2880</v>
      </c>
      <c r="AA10" s="55">
        <f>-'Hypothèses'!AA38 - 'Hypothèses'!AA31</f>
        <v>-2870</v>
      </c>
      <c r="AB10" s="55">
        <f>-'Hypothèses'!AB38 - 'Hypothèses'!AB31</f>
        <v>-2860</v>
      </c>
      <c r="AC10" s="55">
        <f>-'Hypothèses'!AC38 - 'Hypothèses'!AC31</f>
        <v>-2850</v>
      </c>
      <c r="AD10" s="55">
        <f>-'Hypothèses'!AD38 - 'Hypothèses'!AD31</f>
        <v>-2840</v>
      </c>
      <c r="AE10" s="55">
        <f>-'Hypothèses'!AE38 - 'Hypothèses'!AE31</f>
        <v>-2830</v>
      </c>
      <c r="AF10" s="55">
        <f>-'Hypothèses'!AF38 - 'Hypothèses'!AF31</f>
        <v>-2820</v>
      </c>
      <c r="AG10" s="55">
        <f>-'Hypothèses'!AG38 - 'Hypothèses'!AG31</f>
        <v>-2810</v>
      </c>
      <c r="AH10" s="55">
        <f>-'Hypothèses'!AH38 - 'Hypothèses'!AH31</f>
        <v>-2800</v>
      </c>
      <c r="AI10" s="55">
        <f>-'Hypothèses'!AI38 - 'Hypothèses'!AI31</f>
        <v>-2790</v>
      </c>
      <c r="AJ10" s="55">
        <f>-'Hypothèses'!AJ38 - 'Hypothèses'!AJ31</f>
        <v>-2780</v>
      </c>
      <c r="AK10" s="55">
        <f>-'Hypothèses'!AK38 - 'Hypothèses'!AK31</f>
        <v>-2770</v>
      </c>
      <c r="AL10" s="55">
        <f>-'Hypothèses'!AL38 - 'Hypothèses'!AL31</f>
        <v>-2760</v>
      </c>
      <c r="AM10" s="55">
        <f>-'Hypothèses'!AM38 - 'Hypothèses'!AM31</f>
        <v>-2750</v>
      </c>
      <c r="AN10" s="55">
        <f>-'Hypothèses'!AN38 - 'Hypothèses'!AN31</f>
        <v>-2740</v>
      </c>
      <c r="AO10" s="55">
        <f>-'Hypothèses'!AO38 - 'Hypothèses'!AO31</f>
        <v>-2730</v>
      </c>
      <c r="AP10" s="55">
        <f>-'Hypothèses'!AP38 - 'Hypothèses'!AP31</f>
        <v>-2720</v>
      </c>
      <c r="AQ10" s="55">
        <f>-'Hypothèses'!AQ38 - 'Hypothèses'!AQ31</f>
        <v>-2710</v>
      </c>
      <c r="AR10" s="55">
        <f>-'Hypothèses'!AR38 - 'Hypothèses'!AR31</f>
        <v>-2700</v>
      </c>
    </row>
    <row r="11" spans="2:44" x14ac:dyDescent="0.25">
      <c r="B11" t="s">
        <v>103</v>
      </c>
      <c r="C11" s="55">
        <f>-'Hypothèses'!C39</f>
        <v>-40000</v>
      </c>
      <c r="D11" s="55">
        <f>-'Hypothèses'!D39</f>
        <v>-100000</v>
      </c>
      <c r="E11" s="55">
        <f>-'Hypothèses'!E39</f>
        <v>-140000</v>
      </c>
      <c r="I11" s="55">
        <f>-'Hypothèses'!I39</f>
        <v>0</v>
      </c>
      <c r="J11" s="55">
        <f>-'Hypothèses'!J39</f>
        <v>0</v>
      </c>
      <c r="K11" s="55">
        <f>-'Hypothèses'!K39</f>
        <v>-20000</v>
      </c>
      <c r="L11" s="55">
        <f>-'Hypothèses'!L39</f>
        <v>0</v>
      </c>
      <c r="M11" s="55">
        <f>-'Hypothèses'!M39</f>
        <v>0</v>
      </c>
      <c r="N11" s="55">
        <f>-'Hypothèses'!N39</f>
        <v>-20000</v>
      </c>
      <c r="O11" s="55">
        <f>-'Hypothèses'!O39</f>
        <v>0</v>
      </c>
      <c r="P11" s="55">
        <f>-'Hypothèses'!P39</f>
        <v>0</v>
      </c>
      <c r="Q11" s="55">
        <f>-'Hypothèses'!Q39</f>
        <v>0</v>
      </c>
      <c r="R11" s="55">
        <f>-'Hypothèses'!R39</f>
        <v>0</v>
      </c>
      <c r="S11" s="55">
        <f>-'Hypothèses'!S39</f>
        <v>0</v>
      </c>
      <c r="T11" s="55">
        <f>-'Hypothèses'!T39</f>
        <v>0</v>
      </c>
      <c r="U11" s="55">
        <f>-'Hypothèses'!U39</f>
        <v>0</v>
      </c>
      <c r="V11" s="55">
        <f>-'Hypothèses'!V39</f>
        <v>0</v>
      </c>
      <c r="W11" s="55">
        <f>-'Hypothèses'!W39</f>
        <v>-25000</v>
      </c>
      <c r="X11" s="55">
        <f>-'Hypothèses'!X39</f>
        <v>0</v>
      </c>
      <c r="Y11" s="55">
        <f>-'Hypothèses'!Y39</f>
        <v>0</v>
      </c>
      <c r="Z11" s="55">
        <f>-'Hypothèses'!Z39</f>
        <v>-25000</v>
      </c>
      <c r="AA11" s="55">
        <f>-'Hypothèses'!AA39</f>
        <v>0</v>
      </c>
      <c r="AB11" s="55">
        <f>-'Hypothèses'!AB39</f>
        <v>0</v>
      </c>
      <c r="AC11" s="55">
        <f>-'Hypothèses'!AC39</f>
        <v>-25000</v>
      </c>
      <c r="AD11" s="55">
        <f>-'Hypothèses'!AD39</f>
        <v>0</v>
      </c>
      <c r="AE11" s="55">
        <f>-'Hypothèses'!AE39</f>
        <v>0</v>
      </c>
      <c r="AF11" s="55">
        <f>-'Hypothèses'!AF39</f>
        <v>-25000</v>
      </c>
      <c r="AG11" s="55">
        <f>-'Hypothèses'!AG39</f>
        <v>0</v>
      </c>
      <c r="AH11" s="55">
        <f>-'Hypothèses'!AH39</f>
        <v>0</v>
      </c>
      <c r="AI11" s="55">
        <f>-'Hypothèses'!AI39</f>
        <v>-35000</v>
      </c>
      <c r="AJ11" s="55">
        <f>-'Hypothèses'!AJ39</f>
        <v>0</v>
      </c>
      <c r="AK11" s="55">
        <f>-'Hypothèses'!AK39</f>
        <v>0</v>
      </c>
      <c r="AL11" s="55">
        <f>-'Hypothèses'!AL39</f>
        <v>-35000</v>
      </c>
      <c r="AM11" s="55">
        <f>-'Hypothèses'!AM39</f>
        <v>0</v>
      </c>
      <c r="AN11" s="55">
        <f>-'Hypothèses'!AN39</f>
        <v>0</v>
      </c>
      <c r="AO11" s="55">
        <f>-'Hypothèses'!AO39</f>
        <v>-35000</v>
      </c>
      <c r="AP11" s="55">
        <f>-'Hypothèses'!AP39</f>
        <v>0</v>
      </c>
      <c r="AQ11" s="55">
        <f>-'Hypothèses'!AQ39</f>
        <v>0</v>
      </c>
      <c r="AR11" s="55">
        <f>-'Hypothèses'!AR39</f>
        <v>-35000</v>
      </c>
    </row>
    <row r="12" spans="2:44" x14ac:dyDescent="0.25">
      <c r="B12" s="50" t="s">
        <v>104</v>
      </c>
      <c r="C12" s="66">
        <f>SUMIFS(I12:AR12,I3:AR3,C3)</f>
        <v>269299</v>
      </c>
      <c r="D12" s="66">
        <f>SUMIFS(I12:AR12,I3:AR3,D3)</f>
        <v>356980.49999999994</v>
      </c>
      <c r="E12" s="66">
        <f>SUMIFS(I12:AR12,I3:AR3,E3)</f>
        <v>544483.5</v>
      </c>
      <c r="I12" s="66">
        <f>I4 + 'Hypothèses'!I30 + I6 + I7 + I8 + I9 + I10 + I11</f>
        <v>15550</v>
      </c>
      <c r="J12" s="66">
        <f>J4 + 'Hypothèses'!J30 + J6 + J7 + J8 + J9 + J10 + J11</f>
        <v>49966</v>
      </c>
      <c r="K12" s="66">
        <f>K4 + 'Hypothèses'!K30 + K6 + K7 + K8 + K9 + K10 + K11</f>
        <v>7105</v>
      </c>
      <c r="L12" s="66">
        <f>L4 + 'Hypothèses'!L30 + L6 + L7 + L8 + L9 + L10 + L11</f>
        <v>32384</v>
      </c>
      <c r="M12" s="66">
        <f>M4 + 'Hypothèses'!M30 + M6 + M7 + M8 + M9 + M10 + M11</f>
        <v>38051</v>
      </c>
      <c r="N12" s="66">
        <f>N4 + 'Hypothèses'!N30 + N6 + N7 + N8 + N9 + N10 + N11</f>
        <v>15484</v>
      </c>
      <c r="O12" s="66">
        <f>O4 + 'Hypothèses'!O30 + O6 + O7 + O8 + O9 + O10 + O11</f>
        <v>34255</v>
      </c>
      <c r="P12" s="66">
        <f>P4 + 'Hypothèses'!P30 + P6 + P7 + P8 + P9 + P10 + P11</f>
        <v>24620</v>
      </c>
      <c r="Q12" s="66">
        <f>Q4 + 'Hypothèses'!Q30 + Q6 + Q7 + Q8 + Q9 + Q10 + Q11</f>
        <v>-13005</v>
      </c>
      <c r="R12" s="66">
        <f>R4 + 'Hypothèses'!R30 + R6 + R7 + R8 + R9 + R10 + R11</f>
        <v>-11750</v>
      </c>
      <c r="S12" s="66">
        <f>S4 + 'Hypothèses'!S30 + S6 + S7 + S8 + S9 + S10 + S11</f>
        <v>33559</v>
      </c>
      <c r="T12" s="66">
        <f>T4 + 'Hypothèses'!T30 + T6 + T7 + T8 + T9 + T10 + T11</f>
        <v>43080</v>
      </c>
      <c r="U12" s="66">
        <f>U4 + 'Hypothèses'!U30 + U6 + U7 + U8 + U9 + U10 + U11</f>
        <v>40701</v>
      </c>
      <c r="V12" s="66">
        <f>V4 + 'Hypothèses'!V30 + V6 + V7 + V8 + V9 + V10 + V11</f>
        <v>34153.499999999985</v>
      </c>
      <c r="W12" s="66">
        <f>W4 + 'Hypothèses'!W30 + W6 + W7 + W8 + W9 + W10 + W11</f>
        <v>10885.999999999993</v>
      </c>
      <c r="X12" s="66">
        <f>X4 + 'Hypothèses'!X30 + X6 + X7 + X8 + X9 + X10 + X11</f>
        <v>43376.499999999985</v>
      </c>
      <c r="Y12" s="66">
        <f>Y4 + 'Hypothèses'!Y30 + Y6 + Y7 + Y8 + Y9 + Y10 + Y11</f>
        <v>50366.00000000001</v>
      </c>
      <c r="Z12" s="66">
        <f>Z4 + 'Hypothèses'!Z30 + Z6 + Z7 + Z8 + Z9 + Z10 + Z11</f>
        <v>22554.000000000007</v>
      </c>
      <c r="AA12" s="66">
        <f>AA4 + 'Hypothèses'!AA30 + AA6 + AA7 + AA8 + AA9 + AA10 + AA11</f>
        <v>47350.499999999985</v>
      </c>
      <c r="AB12" s="66">
        <f>AB4 + 'Hypothèses'!AB30 + AB6 + AB7 + AB8 + AB9 + AB10 + AB11</f>
        <v>35985.99999999999</v>
      </c>
      <c r="AC12" s="66">
        <f>AC4 + 'Hypothèses'!AC30 + AC6 + AC7 + AC8 + AC9 + AC10 + AC11</f>
        <v>-32758.499999999996</v>
      </c>
      <c r="AD12" s="66">
        <f>AD4 + 'Hypothèses'!AD30 + AD6 + AD7 + AD8 + AD9 + AD10 + AD11</f>
        <v>3691.4999999999854</v>
      </c>
      <c r="AE12" s="66">
        <f>AE4 + 'Hypothèses'!AE30 + AE6 + AE7 + AE8 + AE9 + AE10 + AE11</f>
        <v>57142.999999999985</v>
      </c>
      <c r="AF12" s="66">
        <f>AF4 + 'Hypothèses'!AF30 + AF6 + AF7 + AF8 + AF9 + AF10 + AF11</f>
        <v>43531</v>
      </c>
      <c r="AG12" s="66">
        <f>AG4 + 'Hypothèses'!AG30 + AG6 + AG7 + AG8 + AG9 + AG10 + AG11</f>
        <v>57409.00000000001</v>
      </c>
      <c r="AH12" s="66">
        <f>AH4 + 'Hypothèses'!AH30 + AH6 + AH7 + AH8 + AH9 + AH10 + AH11</f>
        <v>49182</v>
      </c>
      <c r="AI12" s="66">
        <f>AI4 + 'Hypothèses'!AI30 + AI6 + AI7 + AI8 + AI9 + AI10 + AI11</f>
        <v>15305</v>
      </c>
      <c r="AJ12" s="66">
        <f>AJ4 + 'Hypothèses'!AJ30 + AJ6 + AJ7 + AJ8 + AJ9 + AJ10 + AJ11</f>
        <v>60298.50000000001</v>
      </c>
      <c r="AK12" s="66">
        <f>AK4 + 'Hypothèses'!AK30 + AK6 + AK7 + AK8 + AK9 + AK10 + AK11</f>
        <v>68097</v>
      </c>
      <c r="AL12" s="66">
        <f>AL4 + 'Hypothèses'!AL30 + AL6 + AL7 + AL8 + AL9 + AL10 + AL11</f>
        <v>29977.5</v>
      </c>
      <c r="AM12" s="66">
        <f>AM4 + 'Hypothèses'!AM30 + AM6 + AM7 + AM8 + AM9 + AM10 + AM11</f>
        <v>74788.5</v>
      </c>
      <c r="AN12" s="66">
        <f>AN4 + 'Hypothèses'!AN30 + AN6 + AN7 + AN8 + AN9 + AN10 + AN11</f>
        <v>61776.00000000001</v>
      </c>
      <c r="AO12" s="66">
        <f>AO4 + 'Hypothèses'!AO30 + AO6 + AO7 + AO8 + AO9 + AO10 + AO11</f>
        <v>-23837.5</v>
      </c>
      <c r="AP12" s="66">
        <f>AP4 + 'Hypothèses'!AP30 + AP6 + AP7 + AP8 + AP9 + AP10 + AP11</f>
        <v>16576.999999999985</v>
      </c>
      <c r="AQ12" s="66">
        <f>AQ4 + 'Hypothèses'!AQ30 + AQ6 + AQ7 + AQ8 + AQ9 + AQ10 + AQ11</f>
        <v>78287</v>
      </c>
      <c r="AR12" s="66">
        <f>AR4 + 'Hypothèses'!AR30 + AR6 + AR7 + AR8 + AR9 + AR10 + AR11</f>
        <v>56623.5</v>
      </c>
    </row>
    <row r="13" spans="2:44" x14ac:dyDescent="0.25">
      <c r="B13" s="67" t="s">
        <v>26</v>
      </c>
      <c r="C13" s="68">
        <f>C23</f>
        <v>449299</v>
      </c>
      <c r="D13" s="68">
        <f>D23</f>
        <v>806279.5</v>
      </c>
      <c r="E13" s="68">
        <f>E23</f>
        <v>1350763</v>
      </c>
      <c r="G13" s="56" t="s">
        <v>105</v>
      </c>
      <c r="I13" s="68">
        <f>I23</f>
        <v>195550</v>
      </c>
      <c r="J13" s="68">
        <f>J23</f>
        <v>245516</v>
      </c>
      <c r="K13" s="68">
        <f>K23</f>
        <v>252621</v>
      </c>
      <c r="L13" s="68">
        <f>L23</f>
        <v>285005</v>
      </c>
      <c r="M13" s="68">
        <f>M23</f>
        <v>323056</v>
      </c>
      <c r="N13" s="68">
        <f>N23</f>
        <v>338540</v>
      </c>
      <c r="O13" s="68">
        <f>O23</f>
        <v>372795</v>
      </c>
      <c r="P13" s="68">
        <f>P23</f>
        <v>397415</v>
      </c>
      <c r="Q13" s="68">
        <f>Q23</f>
        <v>384410</v>
      </c>
      <c r="R13" s="68">
        <f>R23</f>
        <v>372660</v>
      </c>
      <c r="S13" s="68">
        <f>S23</f>
        <v>406219</v>
      </c>
      <c r="T13" s="68">
        <f>T23</f>
        <v>449299</v>
      </c>
      <c r="U13" s="68">
        <f>U23</f>
        <v>490000</v>
      </c>
      <c r="V13" s="68">
        <f>V23</f>
        <v>524153.5</v>
      </c>
      <c r="W13" s="68">
        <f>W23</f>
        <v>535039.5</v>
      </c>
      <c r="X13" s="68">
        <f>X23</f>
        <v>578416</v>
      </c>
      <c r="Y13" s="68">
        <f>Y23</f>
        <v>628782</v>
      </c>
      <c r="Z13" s="68">
        <f>Z23</f>
        <v>651336</v>
      </c>
      <c r="AA13" s="68">
        <f>AA23</f>
        <v>698686.5</v>
      </c>
      <c r="AB13" s="68">
        <f>AB23</f>
        <v>734672.5</v>
      </c>
      <c r="AC13" s="68">
        <f>AC23</f>
        <v>701914</v>
      </c>
      <c r="AD13" s="68">
        <f>AD23</f>
        <v>705605.5</v>
      </c>
      <c r="AE13" s="68">
        <f>AE23</f>
        <v>762748.5</v>
      </c>
      <c r="AF13" s="68">
        <f>AF23</f>
        <v>806279.5</v>
      </c>
      <c r="AG13" s="68">
        <f>AG23</f>
        <v>863688.5</v>
      </c>
      <c r="AH13" s="68">
        <f>AH23</f>
        <v>912870.5</v>
      </c>
      <c r="AI13" s="68">
        <f>AI23</f>
        <v>928175.5</v>
      </c>
      <c r="AJ13" s="68">
        <f>AJ23</f>
        <v>988474</v>
      </c>
      <c r="AK13" s="68">
        <f>AK23</f>
        <v>1056571</v>
      </c>
      <c r="AL13" s="68">
        <f>AL23</f>
        <v>1086548.5</v>
      </c>
      <c r="AM13" s="68">
        <f>AM23</f>
        <v>1161337</v>
      </c>
      <c r="AN13" s="68">
        <f>AN23</f>
        <v>1223113</v>
      </c>
      <c r="AO13" s="68">
        <f>AO23</f>
        <v>1199275.5</v>
      </c>
      <c r="AP13" s="68">
        <f>AP23</f>
        <v>1215852.5</v>
      </c>
      <c r="AQ13" s="68">
        <f>AQ23</f>
        <v>1294139.5</v>
      </c>
      <c r="AR13" s="68">
        <f>AR23</f>
        <v>1350763</v>
      </c>
    </row>
    <row r="19" spans="2:44" x14ac:dyDescent="0.25">
      <c r="B19" s="50" t="s">
        <v>106</v>
      </c>
    </row>
    <row r="21" spans="2:44" x14ac:dyDescent="0.25">
      <c r="B21" t="s">
        <v>107</v>
      </c>
      <c r="C21" s="55">
        <f>I21</f>
        <v>180000</v>
      </c>
      <c r="D21" s="55">
        <f>C23</f>
        <v>449299</v>
      </c>
      <c r="E21" s="55">
        <f>D23</f>
        <v>806279.5</v>
      </c>
      <c r="I21" s="57">
        <v>180000</v>
      </c>
      <c r="J21" s="55">
        <f>I23</f>
        <v>195550</v>
      </c>
      <c r="K21" s="55">
        <f>J23</f>
        <v>245516</v>
      </c>
      <c r="L21" s="55">
        <f>K23</f>
        <v>252621</v>
      </c>
      <c r="M21" s="55">
        <f>L23</f>
        <v>285005</v>
      </c>
      <c r="N21" s="55">
        <f>M23</f>
        <v>323056</v>
      </c>
      <c r="O21" s="55">
        <f>N23</f>
        <v>338540</v>
      </c>
      <c r="P21" s="55">
        <f>O23</f>
        <v>372795</v>
      </c>
      <c r="Q21" s="55">
        <f>P23</f>
        <v>397415</v>
      </c>
      <c r="R21" s="55">
        <f>Q23</f>
        <v>384410</v>
      </c>
      <c r="S21" s="55">
        <f>R23</f>
        <v>372660</v>
      </c>
      <c r="T21" s="55">
        <f>S23</f>
        <v>406219</v>
      </c>
      <c r="U21" s="55">
        <f>T23</f>
        <v>449299</v>
      </c>
      <c r="V21" s="55">
        <f>U23</f>
        <v>490000</v>
      </c>
      <c r="W21" s="55">
        <f>V23</f>
        <v>524153.5</v>
      </c>
      <c r="X21" s="55">
        <f>W23</f>
        <v>535039.5</v>
      </c>
      <c r="Y21" s="55">
        <f>X23</f>
        <v>578416</v>
      </c>
      <c r="Z21" s="55">
        <f>Y23</f>
        <v>628782</v>
      </c>
      <c r="AA21" s="55">
        <f>Z23</f>
        <v>651336</v>
      </c>
      <c r="AB21" s="55">
        <f>AA23</f>
        <v>698686.5</v>
      </c>
      <c r="AC21" s="55">
        <f>AB23</f>
        <v>734672.5</v>
      </c>
      <c r="AD21" s="55">
        <f>AC23</f>
        <v>701914</v>
      </c>
      <c r="AE21" s="55">
        <f>AD23</f>
        <v>705605.5</v>
      </c>
      <c r="AF21" s="55">
        <f>AE23</f>
        <v>762748.5</v>
      </c>
      <c r="AG21" s="55">
        <f>AF23</f>
        <v>806279.5</v>
      </c>
      <c r="AH21" s="55">
        <f>AG23</f>
        <v>863688.5</v>
      </c>
      <c r="AI21" s="55">
        <f>AH23</f>
        <v>912870.5</v>
      </c>
      <c r="AJ21" s="55">
        <f>AI23</f>
        <v>928175.5</v>
      </c>
      <c r="AK21" s="55">
        <f>AJ23</f>
        <v>988474</v>
      </c>
      <c r="AL21" s="55">
        <f>AK23</f>
        <v>1056571</v>
      </c>
      <c r="AM21" s="55">
        <f>AL23</f>
        <v>1086548.5</v>
      </c>
      <c r="AN21" s="55">
        <f>AM23</f>
        <v>1161337</v>
      </c>
      <c r="AO21" s="55">
        <f>AN23</f>
        <v>1223113</v>
      </c>
      <c r="AP21" s="55">
        <f>AO23</f>
        <v>1199275.5</v>
      </c>
      <c r="AQ21" s="55">
        <f>AP23</f>
        <v>1215852.5</v>
      </c>
      <c r="AR21" s="55">
        <f>AQ23</f>
        <v>1294139.5</v>
      </c>
    </row>
    <row r="22" spans="2:44" x14ac:dyDescent="0.25">
      <c r="B22" t="s">
        <v>104</v>
      </c>
      <c r="C22" s="65">
        <f>C12</f>
        <v>269299</v>
      </c>
      <c r="D22" s="65">
        <f>D12</f>
        <v>356980.49999999994</v>
      </c>
      <c r="E22" s="65">
        <f>E12</f>
        <v>544483.5</v>
      </c>
      <c r="I22" s="65">
        <f>I12</f>
        <v>15550</v>
      </c>
      <c r="J22" s="65">
        <f>J12</f>
        <v>49966</v>
      </c>
      <c r="K22" s="65">
        <f>K12</f>
        <v>7105</v>
      </c>
      <c r="L22" s="65">
        <f>L12</f>
        <v>32384</v>
      </c>
      <c r="M22" s="65">
        <f>M12</f>
        <v>38051</v>
      </c>
      <c r="N22" s="65">
        <f>N12</f>
        <v>15484</v>
      </c>
      <c r="O22" s="65">
        <f>O12</f>
        <v>34255</v>
      </c>
      <c r="P22" s="65">
        <f>P12</f>
        <v>24620</v>
      </c>
      <c r="Q22" s="65">
        <f>Q12</f>
        <v>-13005</v>
      </c>
      <c r="R22" s="65">
        <f>R12</f>
        <v>-11750</v>
      </c>
      <c r="S22" s="65">
        <f>S12</f>
        <v>33559</v>
      </c>
      <c r="T22" s="65">
        <f>T12</f>
        <v>43080</v>
      </c>
      <c r="U22" s="65">
        <f>U12</f>
        <v>40701</v>
      </c>
      <c r="V22" s="65">
        <f>V12</f>
        <v>34153.499999999985</v>
      </c>
      <c r="W22" s="65">
        <f>W12</f>
        <v>10885.999999999993</v>
      </c>
      <c r="X22" s="65">
        <f>X12</f>
        <v>43376.499999999985</v>
      </c>
      <c r="Y22" s="65">
        <f>Y12</f>
        <v>50366.00000000001</v>
      </c>
      <c r="Z22" s="65">
        <f>Z12</f>
        <v>22554.000000000007</v>
      </c>
      <c r="AA22" s="65">
        <f>AA12</f>
        <v>47350.499999999985</v>
      </c>
      <c r="AB22" s="65">
        <f>AB12</f>
        <v>35985.99999999999</v>
      </c>
      <c r="AC22" s="65">
        <f>AC12</f>
        <v>-32758.499999999996</v>
      </c>
      <c r="AD22" s="65">
        <f>AD12</f>
        <v>3691.4999999999854</v>
      </c>
      <c r="AE22" s="65">
        <f>AE12</f>
        <v>57142.999999999985</v>
      </c>
      <c r="AF22" s="65">
        <f>AF12</f>
        <v>43531</v>
      </c>
      <c r="AG22" s="65">
        <f>AG12</f>
        <v>57409.00000000001</v>
      </c>
      <c r="AH22" s="65">
        <f>AH12</f>
        <v>49182</v>
      </c>
      <c r="AI22" s="65">
        <f>AI12</f>
        <v>15305</v>
      </c>
      <c r="AJ22" s="65">
        <f>AJ12</f>
        <v>60298.50000000001</v>
      </c>
      <c r="AK22" s="65">
        <f>AK12</f>
        <v>68097</v>
      </c>
      <c r="AL22" s="65">
        <f>AL12</f>
        <v>29977.5</v>
      </c>
      <c r="AM22" s="65">
        <f>AM12</f>
        <v>74788.5</v>
      </c>
      <c r="AN22" s="65">
        <f>AN12</f>
        <v>61776.00000000001</v>
      </c>
      <c r="AO22" s="65">
        <f>AO12</f>
        <v>-23837.5</v>
      </c>
      <c r="AP22" s="65">
        <f>AP12</f>
        <v>16576.999999999985</v>
      </c>
      <c r="AQ22" s="65">
        <f>AQ12</f>
        <v>78287</v>
      </c>
      <c r="AR22" s="65">
        <f>AR12</f>
        <v>56623.5</v>
      </c>
    </row>
    <row r="23" spans="2:44" x14ac:dyDescent="0.25">
      <c r="B23" s="67" t="s">
        <v>108</v>
      </c>
      <c r="C23" s="68">
        <f>C21+C22</f>
        <v>449299</v>
      </c>
      <c r="D23" s="68">
        <f>D21+D22</f>
        <v>806279.5</v>
      </c>
      <c r="E23" s="68">
        <f>E21+E22</f>
        <v>1350763</v>
      </c>
      <c r="I23" s="68">
        <f>I21+I22</f>
        <v>195550</v>
      </c>
      <c r="J23" s="68">
        <f>J21+J22</f>
        <v>245516</v>
      </c>
      <c r="K23" s="68">
        <f>K21+K22</f>
        <v>252621</v>
      </c>
      <c r="L23" s="68">
        <f>L21+L22</f>
        <v>285005</v>
      </c>
      <c r="M23" s="68">
        <f>M21+M22</f>
        <v>323056</v>
      </c>
      <c r="N23" s="68">
        <f>N21+N22</f>
        <v>338540</v>
      </c>
      <c r="O23" s="68">
        <f>O21+O22</f>
        <v>372795</v>
      </c>
      <c r="P23" s="68">
        <f>P21+P22</f>
        <v>397415</v>
      </c>
      <c r="Q23" s="68">
        <f>Q21+Q22</f>
        <v>384410</v>
      </c>
      <c r="R23" s="68">
        <f>R21+R22</f>
        <v>372660</v>
      </c>
      <c r="S23" s="68">
        <f>S21+S22</f>
        <v>406219</v>
      </c>
      <c r="T23" s="68">
        <f>T21+T22</f>
        <v>449299</v>
      </c>
      <c r="U23" s="68">
        <f>U21+U22</f>
        <v>490000</v>
      </c>
      <c r="V23" s="68">
        <f>V21+V22</f>
        <v>524153.5</v>
      </c>
      <c r="W23" s="68">
        <f>W21+W22</f>
        <v>535039.5</v>
      </c>
      <c r="X23" s="68">
        <f>X21+X22</f>
        <v>578416</v>
      </c>
      <c r="Y23" s="68">
        <f>Y21+Y22</f>
        <v>628782</v>
      </c>
      <c r="Z23" s="68">
        <f>Z21+Z22</f>
        <v>651336</v>
      </c>
      <c r="AA23" s="68">
        <f>AA21+AA22</f>
        <v>698686.5</v>
      </c>
      <c r="AB23" s="68">
        <f>AB21+AB22</f>
        <v>734672.5</v>
      </c>
      <c r="AC23" s="68">
        <f>AC21+AC22</f>
        <v>701914</v>
      </c>
      <c r="AD23" s="68">
        <f>AD21+AD22</f>
        <v>705605.5</v>
      </c>
      <c r="AE23" s="68">
        <f>AE21+AE22</f>
        <v>762748.5</v>
      </c>
      <c r="AF23" s="68">
        <f>AF21+AF22</f>
        <v>806279.5</v>
      </c>
      <c r="AG23" s="68">
        <f>AG21+AG22</f>
        <v>863688.5</v>
      </c>
      <c r="AH23" s="68">
        <f>AH21+AH22</f>
        <v>912870.5</v>
      </c>
      <c r="AI23" s="68">
        <f>AI21+AI22</f>
        <v>928175.5</v>
      </c>
      <c r="AJ23" s="68">
        <f>AJ21+AJ22</f>
        <v>988474</v>
      </c>
      <c r="AK23" s="68">
        <f>AK21+AK22</f>
        <v>1056571</v>
      </c>
      <c r="AL23" s="68">
        <f>AL21+AL22</f>
        <v>1086548.5</v>
      </c>
      <c r="AM23" s="68">
        <f>AM21+AM22</f>
        <v>1161337</v>
      </c>
      <c r="AN23" s="68">
        <f>AN21+AN22</f>
        <v>1223113</v>
      </c>
      <c r="AO23" s="68">
        <f>AO21+AO22</f>
        <v>1199275.5</v>
      </c>
      <c r="AP23" s="68">
        <f>AP21+AP22</f>
        <v>1215852.5</v>
      </c>
      <c r="AQ23" s="68">
        <f>AQ21+AQ22</f>
        <v>1294139.5</v>
      </c>
      <c r="AR23" s="68">
        <f>AR21+AR22</f>
        <v>1350763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1"/>
  </sheetPr>
  <dimension ref="A2:AR10"/>
  <sheetViews>
    <sheetView workbookViewId="0" showGridLines="0" zoomScale="120">
      <pane xSplit="2" ySplit="3" topLeftCell="C4" activePane="bottomRight" state="frozen"/>
      <selection pane="bottomRight"/>
    </sheetView>
  </sheetViews>
  <sheetFormatPr defaultRowHeight="15" outlineLevelRow="0" outlineLevelCol="0" x14ac:dyDescent="55"/>
  <cols>
    <col min="1" max="1" width="2" customWidth="1"/>
    <col min="2" max="2" width="30" customWidth="1"/>
    <col min="3" max="5" width="15" customWidth="1"/>
    <col min="6" max="6" width="3" customWidth="1"/>
    <col min="7" max="7" width="40" customWidth="1"/>
    <col min="8" max="8" width="3" customWidth="1"/>
    <col min="9" max="44" width="12" customWidth="1"/>
  </cols>
  <sheetData>
    <row r="2" spans="1:44" s="50" customFormat="1" x14ac:dyDescent="0.25">
      <c r="A2" s="50" t="s">
        <v>34</v>
      </c>
      <c r="B2" s="51" t="s">
        <v>7</v>
      </c>
      <c r="C2" s="52">
        <v>46387</v>
      </c>
      <c r="D2" s="52">
        <v>46752</v>
      </c>
      <c r="E2" s="52">
        <v>47118</v>
      </c>
      <c r="F2" s="50" t="s">
        <v>34</v>
      </c>
      <c r="G2" s="53" t="s">
        <v>35</v>
      </c>
      <c r="H2" s="50" t="s">
        <v>34</v>
      </c>
      <c r="I2" s="54">
        <v>46053</v>
      </c>
      <c r="J2" s="54">
        <v>46081</v>
      </c>
      <c r="K2" s="54">
        <v>46112</v>
      </c>
      <c r="L2" s="54">
        <v>46142</v>
      </c>
      <c r="M2" s="54">
        <v>46173</v>
      </c>
      <c r="N2" s="54">
        <v>46203</v>
      </c>
      <c r="O2" s="54">
        <v>46234</v>
      </c>
      <c r="P2" s="54">
        <v>46265</v>
      </c>
      <c r="Q2" s="54">
        <v>46295</v>
      </c>
      <c r="R2" s="54">
        <v>46326</v>
      </c>
      <c r="S2" s="54">
        <v>46356</v>
      </c>
      <c r="T2" s="54">
        <v>46387</v>
      </c>
      <c r="U2" s="54">
        <v>46418</v>
      </c>
      <c r="V2" s="54">
        <v>46446</v>
      </c>
      <c r="W2" s="54">
        <v>46477</v>
      </c>
      <c r="X2" s="54">
        <v>46507</v>
      </c>
      <c r="Y2" s="54">
        <v>46538</v>
      </c>
      <c r="Z2" s="54">
        <v>46568</v>
      </c>
      <c r="AA2" s="54">
        <v>46599</v>
      </c>
      <c r="AB2" s="54">
        <v>46630</v>
      </c>
      <c r="AC2" s="54">
        <v>46660</v>
      </c>
      <c r="AD2" s="54">
        <v>46691</v>
      </c>
      <c r="AE2" s="54">
        <v>46721</v>
      </c>
      <c r="AF2" s="54">
        <v>46752</v>
      </c>
      <c r="AG2" s="54">
        <v>46783</v>
      </c>
      <c r="AH2" s="54">
        <v>46812</v>
      </c>
      <c r="AI2" s="54">
        <v>46843</v>
      </c>
      <c r="AJ2" s="54">
        <v>46873</v>
      </c>
      <c r="AK2" s="54">
        <v>46904</v>
      </c>
      <c r="AL2" s="54">
        <v>46934</v>
      </c>
      <c r="AM2" s="54">
        <v>46965</v>
      </c>
      <c r="AN2" s="54">
        <v>46996</v>
      </c>
      <c r="AO2" s="54">
        <v>47026</v>
      </c>
      <c r="AP2" s="54">
        <v>47057</v>
      </c>
      <c r="AQ2" s="54">
        <v>47087</v>
      </c>
      <c r="AR2" s="54">
        <v>47118</v>
      </c>
    </row>
    <row r="3" hidden="1" spans="2:44" x14ac:dyDescent="0.25" outlineLevel="1" collapsed="1">
      <c r="B3" t="s">
        <v>36</v>
      </c>
      <c r="C3">
        <v>1</v>
      </c>
      <c r="D3">
        <v>2</v>
      </c>
      <c r="E3">
        <v>3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2</v>
      </c>
      <c r="V3">
        <v>2</v>
      </c>
      <c r="W3">
        <v>2</v>
      </c>
      <c r="X3">
        <v>2</v>
      </c>
      <c r="Y3">
        <v>2</v>
      </c>
      <c r="Z3">
        <v>2</v>
      </c>
      <c r="AA3">
        <v>2</v>
      </c>
      <c r="AB3">
        <v>2</v>
      </c>
      <c r="AC3">
        <v>2</v>
      </c>
      <c r="AD3">
        <v>2</v>
      </c>
      <c r="AE3">
        <v>2</v>
      </c>
      <c r="AF3">
        <v>2</v>
      </c>
      <c r="AG3">
        <v>3</v>
      </c>
      <c r="AH3">
        <v>3</v>
      </c>
      <c r="AI3">
        <v>3</v>
      </c>
      <c r="AJ3">
        <v>3</v>
      </c>
      <c r="AK3">
        <v>3</v>
      </c>
      <c r="AL3">
        <v>3</v>
      </c>
      <c r="AM3">
        <v>3</v>
      </c>
      <c r="AN3">
        <v>3</v>
      </c>
      <c r="AO3">
        <v>3</v>
      </c>
      <c r="AP3">
        <v>3</v>
      </c>
      <c r="AQ3">
        <v>3</v>
      </c>
      <c r="AR3">
        <v>3</v>
      </c>
    </row>
    <row r="4" spans="2:44" x14ac:dyDescent="0.25">
      <c r="B4" t="s">
        <v>109</v>
      </c>
      <c r="C4" s="58">
        <f>SUMIFS(I4:AR4,I3:AR3,C3)</f>
        <v>3.251923866729545</v>
      </c>
      <c r="D4" s="58">
        <f>SUMIFS(I4:AR4,I3:AR3,D3)</f>
        <v>3.7786192232264866</v>
      </c>
      <c r="E4" s="58">
        <f>SUMIFS(I4:AR4,I3:AR3,E3)</f>
        <v>4.299822614435126</v>
      </c>
      <c r="G4" s="56" t="s">
        <v>110</v>
      </c>
      <c r="I4" s="58">
        <f>IFERROR(IF('Compte de résultat'!I7 = 0, 0, 'Compte de résultat'!I4 / 'Compte de résultat'!I7), 0)</f>
        <v>0.2437417654808959</v>
      </c>
      <c r="J4" s="58">
        <f>IFERROR(IF('Compte de résultat'!J7 = 0, 0, 'Compte de résultat'!J4 / 'Compte de résultat'!J7), 0)</f>
        <v>0.23794808405438814</v>
      </c>
      <c r="K4" s="58">
        <f>IFERROR(IF('Compte de résultat'!K7 = 0, 0, 'Compte de résultat'!K4 / 'Compte de résultat'!K7), 0)</f>
        <v>0.21978021978021978</v>
      </c>
      <c r="L4" s="58">
        <f>IFERROR(IF('Compte de résultat'!L7 = 0, 0, 'Compte de résultat'!L4 / 'Compte de résultat'!L7), 0)</f>
        <v>0.24155995343422584</v>
      </c>
      <c r="M4" s="58">
        <f>IFERROR(IF('Compte de résultat'!M7 = 0, 0, 'Compte de résultat'!M4 / 'Compte de résultat'!M7), 0)</f>
        <v>0.24293785310734464</v>
      </c>
      <c r="N4" s="58">
        <f>IFERROR(IF('Compte de résultat'!N7 = 0, 0, 'Compte de résultat'!N4 / 'Compte de résultat'!N7), 0)</f>
        <v>0.23796791443850268</v>
      </c>
      <c r="O4" s="58">
        <f>IFERROR(IF('Compte de résultat'!O7 = 0, 0, 'Compte de résultat'!O4 / 'Compte de résultat'!O7), 0)</f>
        <v>0.30363036303630364</v>
      </c>
      <c r="P4" s="58">
        <f>IFERROR(IF('Compte de résultat'!P7 = 0, 0, 'Compte de résultat'!P4 / 'Compte de résultat'!P7), 0)</f>
        <v>0.47029702970297027</v>
      </c>
      <c r="Q4" s="58">
        <f>IFERROR(IF('Compte de résultat'!Q7 = 0, 0, 'Compte de résultat'!Q4 / 'Compte de résultat'!Q7), 0)</f>
        <v>0.2692307692307692</v>
      </c>
      <c r="R4" s="58">
        <f>IFERROR(IF('Compte de résultat'!R7 = 0, 0, 'Compte de résultat'!R4 / 'Compte de résultat'!R7), 0)</f>
        <v>0.25608519269776875</v>
      </c>
      <c r="S4" s="58">
        <f>IFERROR(IF('Compte de résultat'!S7 = 0, 0, 'Compte de résultat'!S4 / 'Compte de résultat'!S7), 0)</f>
        <v>0.2571711177052423</v>
      </c>
      <c r="T4" s="58">
        <f>IFERROR(IF('Compte de résultat'!T7 = 0, 0, 'Compte de résultat'!T4 / 'Compte de résultat'!T7), 0)</f>
        <v>0.2715736040609137</v>
      </c>
      <c r="U4" s="58">
        <f>IFERROR(IF('Compte de résultat'!U7 = 0, 0, 'Compte de résultat'!U4 / 'Compte de résultat'!U7), 0)</f>
        <v>0.28894142369319675</v>
      </c>
      <c r="V4" s="58">
        <f>IFERROR(IF('Compte de résultat'!V7 = 0, 0, 'Compte de résultat'!V4 / 'Compte de résultat'!V7), 0)</f>
        <v>0.28245787908820613</v>
      </c>
      <c r="W4" s="58">
        <f>IFERROR(IF('Compte de résultat'!W7 = 0, 0, 'Compte de résultat'!W4 / 'Compte de résultat'!W7), 0)</f>
        <v>0.26100420261004204</v>
      </c>
      <c r="X4" s="58">
        <f>IFERROR(IF('Compte de résultat'!X7 = 0, 0, 'Compte de résultat'!X4 / 'Compte de résultat'!X7), 0)</f>
        <v>0.28478057889822594</v>
      </c>
      <c r="Y4" s="58">
        <f>IFERROR(IF('Compte de résultat'!Y7 = 0, 0, 'Compte de résultat'!Y4 / 'Compte de résultat'!Y7), 0)</f>
        <v>0.28558476881233</v>
      </c>
      <c r="Z4" s="58">
        <f>IFERROR(IF('Compte de résultat'!Z7 = 0, 0, 'Compte de résultat'!Z4 / 'Compte de résultat'!Z7), 0)</f>
        <v>0.2801120448179272</v>
      </c>
      <c r="AA4" s="58">
        <f>IFERROR(IF('Compte de résultat'!AA7 = 0, 0, 'Compte de résultat'!AA4 / 'Compte de résultat'!AA7), 0)</f>
        <v>0.35170603674540685</v>
      </c>
      <c r="AB4" s="58">
        <f>IFERROR(IF('Compte de résultat'!AB7 = 0, 0, 'Compte de résultat'!AB4 / 'Compte de résultat'!AB7), 0)</f>
        <v>0.5225293449450965</v>
      </c>
      <c r="AC4" s="58">
        <f>IFERROR(IF('Compte de résultat'!AC7 = 0, 0, 'Compte de résultat'!AC4 / 'Compte de résultat'!AC7), 0)</f>
        <v>0.3120193364095803</v>
      </c>
      <c r="AD4" s="58">
        <f>IFERROR(IF('Compte de résultat'!AD7 = 0, 0, 'Compte de résultat'!AD4 / 'Compte de résultat'!AD7), 0)</f>
        <v>0.2973523421588595</v>
      </c>
      <c r="AE4" s="58">
        <f>IFERROR(IF('Compte de résultat'!AE7 = 0, 0, 'Compte de résultat'!AE4 / 'Compte de résultat'!AE7), 0)</f>
        <v>0.29797377830750893</v>
      </c>
      <c r="AF4" s="58">
        <f>IFERROR(IF('Compte de résultat'!AF7 = 0, 0, 'Compte de résultat'!AF4 / 'Compte de résultat'!AF7), 0)</f>
        <v>0.3141574867401061</v>
      </c>
      <c r="AG4" s="58">
        <f>IFERROR(IF('Compte de résultat'!AG7 = 0, 0, 'Compte de résultat'!AG4 / 'Compte de résultat'!AG7), 0)</f>
        <v>0.3358843537414966</v>
      </c>
      <c r="AH4" s="58">
        <f>IFERROR(IF('Compte de résultat'!AH7 = 0, 0, 'Compte de résultat'!AH4 / 'Compte de résultat'!AH7), 0)</f>
        <v>0.32770406111781264</v>
      </c>
      <c r="AI4" s="58">
        <f>IFERROR(IF('Compte de résultat'!AI7 = 0, 0, 'Compte de résultat'!AI4 / 'Compte de résultat'!AI7), 0)</f>
        <v>0.3035778821828695</v>
      </c>
      <c r="AJ4" s="58">
        <f>IFERROR(IF('Compte de résultat'!AJ7 = 0, 0, 'Compte de résultat'!AJ4 / 'Compte de résultat'!AJ7), 0)</f>
        <v>0.3295238095238095</v>
      </c>
      <c r="AK4" s="58">
        <f>IFERROR(IF('Compte de résultat'!AK7 = 0, 0, 'Compte de résultat'!AK4 / 'Compte de résultat'!AK7), 0)</f>
        <v>0.328777244181751</v>
      </c>
      <c r="AL4" s="58">
        <f>IFERROR(IF('Compte de résultat'!AL7 = 0, 0, 'Compte de résultat'!AL4 / 'Compte de résultat'!AL7), 0)</f>
        <v>0.3219563687543983</v>
      </c>
      <c r="AM4" s="58">
        <f>IFERROR(IF('Compte de résultat'!AM7 = 0, 0, 'Compte de résultat'!AM4 / 'Compte de résultat'!AM7), 0)</f>
        <v>0.3971271651880017</v>
      </c>
      <c r="AN4" s="58">
        <f>IFERROR(IF('Compte de résultat'!AN7 = 0, 0, 'Compte de résultat'!AN4 / 'Compte de résultat'!AN7), 0)</f>
        <v>0.5703309692671394</v>
      </c>
      <c r="AO4" s="58">
        <f>IFERROR(IF('Compte de résultat'!AO7 = 0, 0, 'Compte de résultat'!AO4 / 'Compte de résultat'!AO7), 0)</f>
        <v>0.3540772532188841</v>
      </c>
      <c r="AP4" s="58">
        <f>IFERROR(IF('Compte de résultat'!AP7 = 0, 0, 'Compte de résultat'!AP4 / 'Compte de résultat'!AP7), 0)</f>
        <v>0.33844614871623874</v>
      </c>
      <c r="AQ4" s="58">
        <f>IFERROR(IF('Compte de résultat'!AQ7 = 0, 0, 'Compte de résultat'!AQ4 / 'Compte de résultat'!AQ7), 0)</f>
        <v>0.3377720038973693</v>
      </c>
      <c r="AR4" s="58">
        <f>IFERROR(IF('Compte de résultat'!AR7 = 0, 0, 'Compte de résultat'!AR4 / 'Compte de résultat'!AR7), 0)</f>
        <v>0.3546453546453546</v>
      </c>
    </row>
    <row r="5" spans="2:44" x14ac:dyDescent="0.25">
      <c r="B5" t="s">
        <v>111</v>
      </c>
      <c r="C5" s="58">
        <f>SUMIFS(I5:AR5,I3:AR3,C3)</f>
        <v>0</v>
      </c>
      <c r="D5" s="58">
        <f>SUMIFS(I5:AR5,I3:AR3,D3)</f>
        <v>3.026264477100926</v>
      </c>
      <c r="E5" s="58">
        <f>SUMIFS(I5:AR5,I3:AR3,E3)</f>
        <v>2.7921044536665653</v>
      </c>
      <c r="G5" s="56" t="s">
        <v>112</v>
      </c>
      <c r="I5" s="58">
        <f>IFERROR(IF(0 = 0, 0, 'Compte de résultat'!I7 / 0 - 1), 0)</f>
        <v>0</v>
      </c>
      <c r="J5" s="58">
        <f>IFERROR(IF(0 = 0, 0, 'Compte de résultat'!J7 / 0 - 1), 0)</f>
        <v>0</v>
      </c>
      <c r="K5" s="58">
        <f>IFERROR(IF(0 = 0, 0, 'Compte de résultat'!K7 / 0 - 1), 0)</f>
        <v>0</v>
      </c>
      <c r="L5" s="58">
        <f>IFERROR(IF(0 = 0, 0, 'Compte de résultat'!L7 / 0 - 1), 0)</f>
        <v>0</v>
      </c>
      <c r="M5" s="58">
        <f>IFERROR(IF(0 = 0, 0, 'Compte de résultat'!M7 / 0 - 1), 0)</f>
        <v>0</v>
      </c>
      <c r="N5" s="58">
        <f>IFERROR(IF(0 = 0, 0, 'Compte de résultat'!N7 / 0 - 1), 0)</f>
        <v>0</v>
      </c>
      <c r="O5" s="58">
        <f>IFERROR(IF(0 = 0, 0, 'Compte de résultat'!O7 / 0 - 1), 0)</f>
        <v>0</v>
      </c>
      <c r="P5" s="58">
        <f>IFERROR(IF(0 = 0, 0, 'Compte de résultat'!P7 / 0 - 1), 0)</f>
        <v>0</v>
      </c>
      <c r="Q5" s="58">
        <f>IFERROR(IF(0 = 0, 0, 'Compte de résultat'!Q7 / 0 - 1), 0)</f>
        <v>0</v>
      </c>
      <c r="R5" s="58">
        <f>IFERROR(IF(0 = 0, 0, 'Compte de résultat'!R7 / 0 - 1), 0)</f>
        <v>0</v>
      </c>
      <c r="S5" s="58">
        <f>IFERROR(IF(0 = 0, 0, 'Compte de résultat'!S7 / 0 - 1), 0)</f>
        <v>0</v>
      </c>
      <c r="T5" s="58">
        <f>IFERROR(IF(0 = 0, 0, 'Compte de résultat'!T7 / 0 - 1), 0)</f>
        <v>0</v>
      </c>
      <c r="U5" s="58">
        <f>IFERROR(IF('Compte de résultat'!I7 = 0, 0, 'Compte de résultat'!U7 / 'Compte de résultat'!I7 - 1), 0)</f>
        <v>0.25395256916996045</v>
      </c>
      <c r="V5" s="58">
        <f>IFERROR(IF('Compte de résultat'!J7 = 0, 0, 'Compte de résultat'!V7 / 'Compte de résultat'!J7 - 1), 0)</f>
        <v>0.24721878862793578</v>
      </c>
      <c r="W5" s="58">
        <f>IFERROR(IF('Compte de résultat'!K7 = 0, 0, 'Compte de résultat'!W7 / 'Compte de résultat'!K7 - 1), 0)</f>
        <v>0.24203296703296706</v>
      </c>
      <c r="X5" s="58">
        <f>IFERROR(IF('Compte de résultat'!L7 = 0, 0, 'Compte de résultat'!X7 / 'Compte de résultat'!L7 - 1), 0)</f>
        <v>0.24679860302677525</v>
      </c>
      <c r="Y5" s="58">
        <f>IFERROR(IF('Compte de résultat'!M7 = 0, 0, 'Compte de résultat'!Y7 / 'Compte de résultat'!M7 - 1), 0)</f>
        <v>0.24632768361581925</v>
      </c>
      <c r="Z5" s="58">
        <f>IFERROR(IF('Compte de résultat'!N7 = 0, 0, 'Compte de résultat'!Z7 / 'Compte de résultat'!N7 - 1), 0)</f>
        <v>0.24090909090909096</v>
      </c>
      <c r="AA5" s="58">
        <f>IFERROR(IF('Compte de résultat'!O7 = 0, 0, 'Compte de résultat'!AA7 / 'Compte de résultat'!O7 - 1), 0)</f>
        <v>0.25742574257425743</v>
      </c>
      <c r="AB5" s="58">
        <f>IFERROR(IF('Compte de résultat'!P7 = 0, 0, 'Compte de résultat'!AB7 / 'Compte de résultat'!P7 - 1), 0)</f>
        <v>0.3074257425742575</v>
      </c>
      <c r="AC5" s="58">
        <f>IFERROR(IF('Compte de résultat'!Q7 = 0, 0, 'Compte de résultat'!AC7 / 'Compte de résultat'!Q7 - 1), 0)</f>
        <v>0.2502747252747253</v>
      </c>
      <c r="AD5" s="58">
        <f>IFERROR(IF('Compte de résultat'!R7 = 0, 0, 'Compte de résultat'!AD7 / 'Compte de résultat'!R7 - 1), 0)</f>
        <v>0.24492900608519275</v>
      </c>
      <c r="AE5" s="58">
        <f>IFERROR(IF('Compte de résultat'!S7 = 0, 0, 'Compte de résultat'!AE7 / 'Compte de résultat'!S7 - 1), 0)</f>
        <v>0.24480712166172114</v>
      </c>
      <c r="AF5" s="58">
        <f>IFERROR(IF('Compte de résultat'!T7 = 0, 0, 'Compte de résultat'!AF7 / 'Compte de résultat'!T7 - 1), 0)</f>
        <v>0.24416243654822334</v>
      </c>
      <c r="AG5" s="58">
        <f>IFERROR(IF('Compte de résultat'!U7 = 0, 0, 'Compte de résultat'!AG7 / 'Compte de résultat'!U7 - 1), 0)</f>
        <v>0.235618597320725</v>
      </c>
      <c r="AH5" s="58">
        <f>IFERROR(IF('Compte de résultat'!V7 = 0, 0, 'Compte de résultat'!AH7 / 'Compte de résultat'!V7 - 1), 0)</f>
        <v>0.23240832507433096</v>
      </c>
      <c r="AI5" s="58">
        <f>IFERROR(IF('Compte de résultat'!W7 = 0, 0, 'Compte de résultat'!AI7 / 'Compte de résultat'!W7 - 1), 0)</f>
        <v>0.22406547224065476</v>
      </c>
      <c r="AJ5" s="58">
        <f>IFERROR(IF('Compte de résultat'!X7 = 0, 0, 'Compte de résultat'!AJ7 / 'Compte de résultat'!X7 - 1), 0)</f>
        <v>0.22549019607843146</v>
      </c>
      <c r="AK5" s="58">
        <f>IFERROR(IF('Compte de résultat'!Y7 = 0, 0, 'Compte de résultat'!AK7 / 'Compte de résultat'!Y7 - 1), 0)</f>
        <v>0.2271078875793291</v>
      </c>
      <c r="AL5" s="58">
        <f>IFERROR(IF('Compte de résultat'!Z7 = 0, 0, 'Compte de résultat'!AL7 / 'Compte de résultat'!Z7 - 1), 0)</f>
        <v>0.22473604826546012</v>
      </c>
      <c r="AM5" s="58">
        <f>IFERROR(IF('Compte de résultat'!AA7 = 0, 0, 'Compte de résultat'!AM7 / 'Compte de résultat'!AA7 - 1), 0)</f>
        <v>0.24251968503937005</v>
      </c>
      <c r="AN5" s="58">
        <f>IFERROR(IF('Compte de résultat'!AB7 = 0, 0, 'Compte de résultat'!AN7 / 'Compte de résultat'!AB7 - 1), 0)</f>
        <v>0.2813328284740628</v>
      </c>
      <c r="AO5" s="58">
        <f>IFERROR(IF('Compte de résultat'!AC7 = 0, 0, 'Compte de résultat'!AO7 / 'Compte de résultat'!AC7 - 1), 0)</f>
        <v>0.22874093605800927</v>
      </c>
      <c r="AP5" s="58">
        <f>IFERROR(IF('Compte de résultat'!AD7 = 0, 0, 'Compte de résultat'!AP7 / 'Compte de résultat'!AD7 - 1), 0)</f>
        <v>0.22158859470468428</v>
      </c>
      <c r="AQ5" s="58">
        <f>IFERROR(IF('Compte de résultat'!AE7 = 0, 0, 'Compte de résultat'!AQ7 / 'Compte de résultat'!AE7 - 1), 0)</f>
        <v>0.22328168454509334</v>
      </c>
      <c r="AR5" s="58">
        <f>IFERROR(IF('Compte de résultat'!AF7 = 0, 0, 'Compte de résultat'!AR7 / 'Compte de résultat'!AF7 - 1), 0)</f>
        <v>0.22521419828641376</v>
      </c>
    </row>
    <row r="6" spans="2:44" x14ac:dyDescent="0.25">
      <c r="B6" t="s">
        <v>113</v>
      </c>
      <c r="C6" s="55">
        <f>SUMIFS(I6:AR6,I3:AR3,C3)</f>
        <v>165727.62237762238</v>
      </c>
      <c r="D6" s="55">
        <f>SUMIFS(I6:AR6,I3:AR3,D3)</f>
        <v>169388.80952380953</v>
      </c>
      <c r="E6" s="55">
        <f>SUMIFS(I6:AR6,I3:AR3,E3)</f>
        <v>176030.35775713797</v>
      </c>
      <c r="I6" s="55">
        <f>IFERROR(IF('Hypothèses'!I18 = 0, 0, 'Compte de résultat'!I7 / 'Hypothèses'!I18), 0)</f>
        <v>13800</v>
      </c>
      <c r="J6" s="55">
        <f>IFERROR(IF('Hypothèses'!J18 = 0, 0, 'Compte de résultat'!J7 / 'Hypothèses'!J18), 0)</f>
        <v>14709.09090909091</v>
      </c>
      <c r="K6" s="55">
        <f>IFERROR(IF('Hypothèses'!K18 = 0, 0, 'Compte de résultat'!K7 / 'Hypothèses'!K18), 0)</f>
        <v>16545.454545454544</v>
      </c>
      <c r="L6" s="55">
        <f>IFERROR(IF('Hypothèses'!L18 = 0, 0, 'Compte de résultat'!L7 / 'Hypothèses'!L18), 0)</f>
        <v>14316.666666666666</v>
      </c>
      <c r="M6" s="55">
        <f>IFERROR(IF('Hypothèses'!M18 = 0, 0, 'Compte de résultat'!M7 / 'Hypothèses'!M18), 0)</f>
        <v>14750</v>
      </c>
      <c r="N6" s="55">
        <f>IFERROR(IF('Hypothèses'!N18 = 0, 0, 'Compte de résultat'!N7 / 'Hypothèses'!N18), 0)</f>
        <v>15583.333333333334</v>
      </c>
      <c r="O6" s="55">
        <f>IFERROR(IF('Hypothèses'!O18 = 0, 0, 'Compte de résultat'!O7 / 'Hypothèses'!O18), 0)</f>
        <v>11653.846153846154</v>
      </c>
      <c r="P6" s="55">
        <f>IFERROR(IF('Hypothèses'!P18 = 0, 0, 'Compte de résultat'!P7 / 'Hypothèses'!P18), 0)</f>
        <v>7769.2307692307695</v>
      </c>
      <c r="Q6" s="55">
        <f>IFERROR(IF('Hypothèses'!Q18 = 0, 0, 'Compte de résultat'!Q7 / 'Hypothèses'!Q18), 0)</f>
        <v>14000</v>
      </c>
      <c r="R6" s="55">
        <f>IFERROR(IF('Hypothèses'!R18 = 0, 0, 'Compte de résultat'!R7 / 'Hypothèses'!R18), 0)</f>
        <v>14085.714285714286</v>
      </c>
      <c r="S6" s="55">
        <f>IFERROR(IF('Hypothèses'!S18 = 0, 0, 'Compte de résultat'!S7 / 'Hypothèses'!S18), 0)</f>
        <v>14442.857142857143</v>
      </c>
      <c r="T6" s="55">
        <f>IFERROR(IF('Hypothèses'!T18 = 0, 0, 'Compte de résultat'!T7 / 'Hypothèses'!T18), 0)</f>
        <v>14071.42857142857</v>
      </c>
      <c r="U6" s="55">
        <f>IFERROR(IF('Hypothèses'!U18 = 0, 0, 'Compte de résultat'!U7 / 'Hypothèses'!U18), 0)</f>
        <v>13596.42857142857</v>
      </c>
      <c r="V6" s="55">
        <f>IFERROR(IF('Hypothèses'!V18 = 0, 0, 'Compte de résultat'!V7 / 'Hypothèses'!V18), 0)</f>
        <v>14414.285714285714</v>
      </c>
      <c r="W6" s="55">
        <f>IFERROR(IF('Hypothèses'!W18 = 0, 0, 'Compte de résultat'!W7 / 'Hypothèses'!W18), 0)</f>
        <v>16146.42857142857</v>
      </c>
      <c r="X6" s="55">
        <f>IFERROR(IF('Hypothèses'!X18 = 0, 0, 'Compte de résultat'!X7 / 'Hypothèses'!X18), 0)</f>
        <v>14280</v>
      </c>
      <c r="Y6" s="55">
        <f>IFERROR(IF('Hypothèses'!Y18 = 0, 0, 'Compte de résultat'!Y7 / 'Hypothèses'!Y18), 0)</f>
        <v>14706.666666666666</v>
      </c>
      <c r="Z6" s="55">
        <f>IFERROR(IF('Hypothèses'!Z18 = 0, 0, 'Compte de résultat'!Z7 / 'Hypothèses'!Z18), 0)</f>
        <v>15470</v>
      </c>
      <c r="AA6" s="55">
        <f>IFERROR(IF('Hypothèses'!AA18 = 0, 0, 'Compte de résultat'!AA7 / 'Hypothèses'!AA18), 0)</f>
        <v>11906.25</v>
      </c>
      <c r="AB6" s="55">
        <f>IFERROR(IF('Hypothèses'!AB18 = 0, 0, 'Compte de résultat'!AB7 / 'Hypothèses'!AB18), 0)</f>
        <v>8253.125</v>
      </c>
      <c r="AC6" s="55">
        <f>IFERROR(IF('Hypothèses'!AC18 = 0, 0, 'Compte de résultat'!AC7 / 'Hypothèses'!AC18), 0)</f>
        <v>14221.875</v>
      </c>
      <c r="AD6" s="55">
        <f>IFERROR(IF('Hypothèses'!AD18 = 0, 0, 'Compte de résultat'!AD7 / 'Hypothèses'!AD18), 0)</f>
        <v>15343.75</v>
      </c>
      <c r="AE6" s="55">
        <f>IFERROR(IF('Hypothèses'!AE18 = 0, 0, 'Compte de résultat'!AE7 / 'Hypothèses'!AE18), 0)</f>
        <v>15731.25</v>
      </c>
      <c r="AF6" s="55">
        <f>IFERROR(IF('Hypothèses'!AF18 = 0, 0, 'Compte de résultat'!AF7 / 'Hypothèses'!AF18), 0)</f>
        <v>15318.75</v>
      </c>
      <c r="AG6" s="55">
        <f>IFERROR(IF('Hypothèses'!AG18 = 0, 0, 'Compte de résultat'!AG7 / 'Hypothèses'!AG18), 0)</f>
        <v>13835.29411764706</v>
      </c>
      <c r="AH6" s="55">
        <f>IFERROR(IF('Hypothèses'!AH18 = 0, 0, 'Compte de résultat'!AH7 / 'Hypothèses'!AH18), 0)</f>
        <v>14629.411764705883</v>
      </c>
      <c r="AI6" s="55">
        <f>IFERROR(IF('Hypothèses'!AI18 = 0, 0, 'Compte de résultat'!AI7 / 'Hypothèses'!AI18), 0)</f>
        <v>16276.470588235294</v>
      </c>
      <c r="AJ6" s="55">
        <f>IFERROR(IF('Hypothèses'!AJ18 = 0, 0, 'Compte de résultat'!AJ7 / 'Hypothèses'!AJ18), 0)</f>
        <v>14583.333333333334</v>
      </c>
      <c r="AK6" s="55">
        <f>IFERROR(IF('Hypothèses'!AK18 = 0, 0, 'Compte de résultat'!AK7 / 'Hypothèses'!AK18), 0)</f>
        <v>15038.888888888889</v>
      </c>
      <c r="AL6" s="55">
        <f>IFERROR(IF('Hypothèses'!AL18 = 0, 0, 'Compte de résultat'!AL7 / 'Hypothèses'!AL18), 0)</f>
        <v>15788.888888888889</v>
      </c>
      <c r="AM6" s="55">
        <f>IFERROR(IF('Hypothèses'!AM18 = 0, 0, 'Compte de résultat'!AM7 / 'Hypothèses'!AM18), 0)</f>
        <v>13150</v>
      </c>
      <c r="AN6" s="55">
        <f>IFERROR(IF('Hypothèses'!AN18 = 0, 0, 'Compte de résultat'!AN7 / 'Hypothèses'!AN18), 0)</f>
        <v>9400</v>
      </c>
      <c r="AO6" s="55">
        <f>IFERROR(IF('Hypothèses'!AO18 = 0, 0, 'Compte de résultat'!AO7 / 'Hypothèses'!AO18), 0)</f>
        <v>15533.333333333334</v>
      </c>
      <c r="AP6" s="55">
        <f>IFERROR(IF('Hypothèses'!AP18 = 0, 0, 'Compte de résultat'!AP7 / 'Hypothèses'!AP18), 0)</f>
        <v>15784.21052631579</v>
      </c>
      <c r="AQ6" s="55">
        <f>IFERROR(IF('Hypothèses'!AQ18 = 0, 0, 'Compte de résultat'!AQ7 / 'Hypothèses'!AQ18), 0)</f>
        <v>16205.263157894737</v>
      </c>
      <c r="AR6" s="55">
        <f>IFERROR(IF('Hypothèses'!AR18 = 0, 0, 'Compte de résultat'!AR7 / 'Hypothèses'!AR18), 0)</f>
        <v>15805.263157894737</v>
      </c>
    </row>
    <row r="7" spans="2:44" x14ac:dyDescent="0.25">
      <c r="B7" s="50" t="s">
        <v>30</v>
      </c>
      <c r="C7" s="66">
        <f>'Compte de résultat'!C7 * 1</f>
        <v>2062300</v>
      </c>
      <c r="D7" s="66">
        <f>'Compte de résultat'!D7 * 1</f>
        <v>2577450</v>
      </c>
      <c r="E7" s="66">
        <f>'Compte de résultat'!E7 * 1</f>
        <v>3171600</v>
      </c>
      <c r="I7" s="66">
        <f>INDEX(C7:E7,I3)/12</f>
        <v>171858.33333333334</v>
      </c>
      <c r="J7" s="66">
        <f>INDEX(C7:E7,J3)/12</f>
        <v>171858.33333333334</v>
      </c>
      <c r="K7" s="66">
        <f>INDEX(C7:E7,K3)/12</f>
        <v>171858.33333333334</v>
      </c>
      <c r="L7" s="66">
        <f>INDEX(C7:E7,L3)/12</f>
        <v>171858.33333333334</v>
      </c>
      <c r="M7" s="66">
        <f>INDEX(C7:E7,M3)/12</f>
        <v>171858.33333333334</v>
      </c>
      <c r="N7" s="66">
        <f>INDEX(C7:E7,N3)/12</f>
        <v>171858.33333333334</v>
      </c>
      <c r="O7" s="66">
        <f>INDEX(C7:E7,O3)/12</f>
        <v>171858.33333333334</v>
      </c>
      <c r="P7" s="66">
        <f>INDEX(C7:E7,P3)/12</f>
        <v>171858.33333333334</v>
      </c>
      <c r="Q7" s="66">
        <f>INDEX(C7:E7,Q3)/12</f>
        <v>171858.33333333334</v>
      </c>
      <c r="R7" s="66">
        <f>INDEX(C7:E7,R3)/12</f>
        <v>171858.33333333334</v>
      </c>
      <c r="S7" s="66">
        <f>INDEX(C7:E7,S3)/12</f>
        <v>171858.33333333334</v>
      </c>
      <c r="T7" s="66">
        <f>INDEX(C7:E7,T3)/12</f>
        <v>171858.33333333334</v>
      </c>
      <c r="U7" s="66">
        <f>INDEX(C7:E7,U3)/12</f>
        <v>214787.5</v>
      </c>
      <c r="V7" s="66">
        <f>INDEX(C7:E7,V3)/12</f>
        <v>214787.5</v>
      </c>
      <c r="W7" s="66">
        <f>INDEX(C7:E7,W3)/12</f>
        <v>214787.5</v>
      </c>
      <c r="X7" s="66">
        <f>INDEX(C7:E7,X3)/12</f>
        <v>214787.5</v>
      </c>
      <c r="Y7" s="66">
        <f>INDEX(C7:E7,Y3)/12</f>
        <v>214787.5</v>
      </c>
      <c r="Z7" s="66">
        <f>INDEX(C7:E7,Z3)/12</f>
        <v>214787.5</v>
      </c>
      <c r="AA7" s="66">
        <f>INDEX(C7:E7,AA3)/12</f>
        <v>214787.5</v>
      </c>
      <c r="AB7" s="66">
        <f>INDEX(C7:E7,AB3)/12</f>
        <v>214787.5</v>
      </c>
      <c r="AC7" s="66">
        <f>INDEX(C7:E7,AC3)/12</f>
        <v>214787.5</v>
      </c>
      <c r="AD7" s="66">
        <f>INDEX(C7:E7,AD3)/12</f>
        <v>214787.5</v>
      </c>
      <c r="AE7" s="66">
        <f>INDEX(C7:E7,AE3)/12</f>
        <v>214787.5</v>
      </c>
      <c r="AF7" s="66">
        <f>INDEX(C7:E7,AF3)/12</f>
        <v>214787.5</v>
      </c>
      <c r="AG7" s="66">
        <f>INDEX(C7:E7,AG3)/12</f>
        <v>264300</v>
      </c>
      <c r="AH7" s="66">
        <f>INDEX(C7:E7,AH3)/12</f>
        <v>264300</v>
      </c>
      <c r="AI7" s="66">
        <f>INDEX(C7:E7,AI3)/12</f>
        <v>264300</v>
      </c>
      <c r="AJ7" s="66">
        <f>INDEX(C7:E7,AJ3)/12</f>
        <v>264300</v>
      </c>
      <c r="AK7" s="66">
        <f>INDEX(C7:E7,AK3)/12</f>
        <v>264300</v>
      </c>
      <c r="AL7" s="66">
        <f>INDEX(C7:E7,AL3)/12</f>
        <v>264300</v>
      </c>
      <c r="AM7" s="66">
        <f>INDEX(C7:E7,AM3)/12</f>
        <v>264300</v>
      </c>
      <c r="AN7" s="66">
        <f>INDEX(C7:E7,AN3)/12</f>
        <v>264300</v>
      </c>
      <c r="AO7" s="66">
        <f>INDEX(C7:E7,AO3)/12</f>
        <v>264300</v>
      </c>
      <c r="AP7" s="66">
        <f>INDEX(C7:E7,AP3)/12</f>
        <v>264300</v>
      </c>
      <c r="AQ7" s="66">
        <f>INDEX(C7:E7,AQ3)/12</f>
        <v>264300</v>
      </c>
      <c r="AR7" s="66">
        <f>INDEX(C7:E7,AR3)/12</f>
        <v>264300</v>
      </c>
    </row>
    <row r="8" spans="2:44" x14ac:dyDescent="0.25">
      <c r="B8" s="50" t="s">
        <v>31</v>
      </c>
      <c r="C8" s="66">
        <f>'Compte de résultat'!C12 * 1</f>
        <v>391630</v>
      </c>
      <c r="D8" s="66">
        <f>'Compte de résultat'!D12 * 1</f>
        <v>559156.5</v>
      </c>
      <c r="E8" s="66">
        <f>'Compte de résultat'!E12 * 1</f>
        <v>795871.5</v>
      </c>
      <c r="I8" s="66">
        <f>INDEX(C8:E8,I3)/12</f>
        <v>32635.833333333332</v>
      </c>
      <c r="J8" s="66">
        <f>INDEX(C8:E8,J3)/12</f>
        <v>32635.833333333332</v>
      </c>
      <c r="K8" s="66">
        <f>INDEX(C8:E8,K3)/12</f>
        <v>32635.833333333332</v>
      </c>
      <c r="L8" s="66">
        <f>INDEX(C8:E8,L3)/12</f>
        <v>32635.833333333332</v>
      </c>
      <c r="M8" s="66">
        <f>INDEX(C8:E8,M3)/12</f>
        <v>32635.833333333332</v>
      </c>
      <c r="N8" s="66">
        <f>INDEX(C8:E8,N3)/12</f>
        <v>32635.833333333332</v>
      </c>
      <c r="O8" s="66">
        <f>INDEX(C8:E8,O3)/12</f>
        <v>32635.833333333332</v>
      </c>
      <c r="P8" s="66">
        <f>INDEX(C8:E8,P3)/12</f>
        <v>32635.833333333332</v>
      </c>
      <c r="Q8" s="66">
        <f>INDEX(C8:E8,Q3)/12</f>
        <v>32635.833333333332</v>
      </c>
      <c r="R8" s="66">
        <f>INDEX(C8:E8,R3)/12</f>
        <v>32635.833333333332</v>
      </c>
      <c r="S8" s="66">
        <f>INDEX(C8:E8,S3)/12</f>
        <v>32635.833333333332</v>
      </c>
      <c r="T8" s="66">
        <f>INDEX(C8:E8,T3)/12</f>
        <v>32635.833333333332</v>
      </c>
      <c r="U8" s="66">
        <f>INDEX(C8:E8,U3)/12</f>
        <v>46596.375</v>
      </c>
      <c r="V8" s="66">
        <f>INDEX(C8:E8,V3)/12</f>
        <v>46596.375</v>
      </c>
      <c r="W8" s="66">
        <f>INDEX(C8:E8,W3)/12</f>
        <v>46596.375</v>
      </c>
      <c r="X8" s="66">
        <f>INDEX(C8:E8,X3)/12</f>
        <v>46596.375</v>
      </c>
      <c r="Y8" s="66">
        <f>INDEX(C8:E8,Y3)/12</f>
        <v>46596.375</v>
      </c>
      <c r="Z8" s="66">
        <f>INDEX(C8:E8,Z3)/12</f>
        <v>46596.375</v>
      </c>
      <c r="AA8" s="66">
        <f>INDEX(C8:E8,AA3)/12</f>
        <v>46596.375</v>
      </c>
      <c r="AB8" s="66">
        <f>INDEX(C8:E8,AB3)/12</f>
        <v>46596.375</v>
      </c>
      <c r="AC8" s="66">
        <f>INDEX(C8:E8,AC3)/12</f>
        <v>46596.375</v>
      </c>
      <c r="AD8" s="66">
        <f>INDEX(C8:E8,AD3)/12</f>
        <v>46596.375</v>
      </c>
      <c r="AE8" s="66">
        <f>INDEX(C8:E8,AE3)/12</f>
        <v>46596.375</v>
      </c>
      <c r="AF8" s="66">
        <f>INDEX(C8:E8,AF3)/12</f>
        <v>46596.375</v>
      </c>
      <c r="AG8" s="66">
        <f>INDEX(C8:E8,AG3)/12</f>
        <v>66322.625</v>
      </c>
      <c r="AH8" s="66">
        <f>INDEX(C8:E8,AH3)/12</f>
        <v>66322.625</v>
      </c>
      <c r="AI8" s="66">
        <f>INDEX(C8:E8,AI3)/12</f>
        <v>66322.625</v>
      </c>
      <c r="AJ8" s="66">
        <f>INDEX(C8:E8,AJ3)/12</f>
        <v>66322.625</v>
      </c>
      <c r="AK8" s="66">
        <f>INDEX(C8:E8,AK3)/12</f>
        <v>66322.625</v>
      </c>
      <c r="AL8" s="66">
        <f>INDEX(C8:E8,AL3)/12</f>
        <v>66322.625</v>
      </c>
      <c r="AM8" s="66">
        <f>INDEX(C8:E8,AM3)/12</f>
        <v>66322.625</v>
      </c>
      <c r="AN8" s="66">
        <f>INDEX(C8:E8,AN3)/12</f>
        <v>66322.625</v>
      </c>
      <c r="AO8" s="66">
        <f>INDEX(C8:E8,AO3)/12</f>
        <v>66322.625</v>
      </c>
      <c r="AP8" s="66">
        <f>INDEX(C8:E8,AP3)/12</f>
        <v>66322.625</v>
      </c>
      <c r="AQ8" s="66">
        <f>INDEX(C8:E8,AQ3)/12</f>
        <v>66322.625</v>
      </c>
      <c r="AR8" s="66">
        <f>INDEX(C8:E8,AR3)/12</f>
        <v>66322.625</v>
      </c>
    </row>
    <row r="9" spans="2:44" x14ac:dyDescent="0.25">
      <c r="B9" s="50" t="s">
        <v>33</v>
      </c>
      <c r="C9" s="66">
        <f>'Compte de résultat'!C20 * 1</f>
        <v>262078.75</v>
      </c>
      <c r="D9" s="66">
        <f>'Compte de résultat'!D20 * 1</f>
        <v>384536.25</v>
      </c>
      <c r="E9" s="66">
        <f>'Compte de résultat'!E20 * 1</f>
        <v>561246.75</v>
      </c>
      <c r="I9" s="66">
        <f>INDEX(C9:E9,I3)/12</f>
        <v>21839.895833333332</v>
      </c>
      <c r="J9" s="66">
        <f>INDEX(C9:E9,J3)/12</f>
        <v>21839.895833333332</v>
      </c>
      <c r="K9" s="66">
        <f>INDEX(C9:E9,K3)/12</f>
        <v>21839.895833333332</v>
      </c>
      <c r="L9" s="66">
        <f>INDEX(C9:E9,L3)/12</f>
        <v>21839.895833333332</v>
      </c>
      <c r="M9" s="66">
        <f>INDEX(C9:E9,M3)/12</f>
        <v>21839.895833333332</v>
      </c>
      <c r="N9" s="66">
        <f>INDEX(C9:E9,N3)/12</f>
        <v>21839.895833333332</v>
      </c>
      <c r="O9" s="66">
        <f>INDEX(C9:E9,O3)/12</f>
        <v>21839.895833333332</v>
      </c>
      <c r="P9" s="66">
        <f>INDEX(C9:E9,P3)/12</f>
        <v>21839.895833333332</v>
      </c>
      <c r="Q9" s="66">
        <f>INDEX(C9:E9,Q3)/12</f>
        <v>21839.895833333332</v>
      </c>
      <c r="R9" s="66">
        <f>INDEX(C9:E9,R3)/12</f>
        <v>21839.895833333332</v>
      </c>
      <c r="S9" s="66">
        <f>INDEX(C9:E9,S3)/12</f>
        <v>21839.895833333332</v>
      </c>
      <c r="T9" s="66">
        <f>INDEX(C9:E9,T3)/12</f>
        <v>21839.895833333332</v>
      </c>
      <c r="U9" s="66">
        <f>INDEX(C9:E9,U3)/12</f>
        <v>32044.6875</v>
      </c>
      <c r="V9" s="66">
        <f>INDEX(C9:E9,V3)/12</f>
        <v>32044.6875</v>
      </c>
      <c r="W9" s="66">
        <f>INDEX(C9:E9,W3)/12</f>
        <v>32044.6875</v>
      </c>
      <c r="X9" s="66">
        <f>INDEX(C9:E9,X3)/12</f>
        <v>32044.6875</v>
      </c>
      <c r="Y9" s="66">
        <f>INDEX(C9:E9,Y3)/12</f>
        <v>32044.6875</v>
      </c>
      <c r="Z9" s="66">
        <f>INDEX(C9:E9,Z3)/12</f>
        <v>32044.6875</v>
      </c>
      <c r="AA9" s="66">
        <f>INDEX(C9:E9,AA3)/12</f>
        <v>32044.6875</v>
      </c>
      <c r="AB9" s="66">
        <f>INDEX(C9:E9,AB3)/12</f>
        <v>32044.6875</v>
      </c>
      <c r="AC9" s="66">
        <f>INDEX(C9:E9,AC3)/12</f>
        <v>32044.6875</v>
      </c>
      <c r="AD9" s="66">
        <f>INDEX(C9:E9,AD3)/12</f>
        <v>32044.6875</v>
      </c>
      <c r="AE9" s="66">
        <f>INDEX(C9:E9,AE3)/12</f>
        <v>32044.6875</v>
      </c>
      <c r="AF9" s="66">
        <f>INDEX(C9:E9,AF3)/12</f>
        <v>32044.6875</v>
      </c>
      <c r="AG9" s="66">
        <f>INDEX(C9:E9,AG3)/12</f>
        <v>46770.5625</v>
      </c>
      <c r="AH9" s="66">
        <f>INDEX(C9:E9,AH3)/12</f>
        <v>46770.5625</v>
      </c>
      <c r="AI9" s="66">
        <f>INDEX(C9:E9,AI3)/12</f>
        <v>46770.5625</v>
      </c>
      <c r="AJ9" s="66">
        <f>INDEX(C9:E9,AJ3)/12</f>
        <v>46770.5625</v>
      </c>
      <c r="AK9" s="66">
        <f>INDEX(C9:E9,AK3)/12</f>
        <v>46770.5625</v>
      </c>
      <c r="AL9" s="66">
        <f>INDEX(C9:E9,AL3)/12</f>
        <v>46770.5625</v>
      </c>
      <c r="AM9" s="66">
        <f>INDEX(C9:E9,AM3)/12</f>
        <v>46770.5625</v>
      </c>
      <c r="AN9" s="66">
        <f>INDEX(C9:E9,AN3)/12</f>
        <v>46770.5625</v>
      </c>
      <c r="AO9" s="66">
        <f>INDEX(C9:E9,AO3)/12</f>
        <v>46770.5625</v>
      </c>
      <c r="AP9" s="66">
        <f>INDEX(C9:E9,AP3)/12</f>
        <v>46770.5625</v>
      </c>
      <c r="AQ9" s="66">
        <f>INDEX(C9:E9,AQ3)/12</f>
        <v>46770.5625</v>
      </c>
      <c r="AR9" s="66">
        <f>INDEX(C9:E9,AR3)/12</f>
        <v>46770.5625</v>
      </c>
    </row>
    <row r="10" spans="2:44" x14ac:dyDescent="0.25">
      <c r="B10" t="s">
        <v>32</v>
      </c>
      <c r="C10" s="58">
        <f>IFERROR(IF(C7 = 0, 0, C8 / C7), 0)</f>
        <v>0.18989962663046114</v>
      </c>
      <c r="D10" s="58">
        <f>IFERROR(IF(D7 = 0, 0, D8 / D7), 0)</f>
        <v>0.21694174474771577</v>
      </c>
      <c r="E10" s="58">
        <f>IFERROR(IF(E7 = 0, 0, E8 / E7), 0)</f>
        <v>0.2509369088157397</v>
      </c>
      <c r="I10" s="58">
        <f>INDEX(C10:E10,I3)/12</f>
        <v>0.015824968885871763</v>
      </c>
      <c r="J10" s="58">
        <f>INDEX(C10:E10,J3)/12</f>
        <v>0.015824968885871763</v>
      </c>
      <c r="K10" s="58">
        <f>INDEX(C10:E10,K3)/12</f>
        <v>0.015824968885871763</v>
      </c>
      <c r="L10" s="58">
        <f>INDEX(C10:E10,L3)/12</f>
        <v>0.015824968885871763</v>
      </c>
      <c r="M10" s="58">
        <f>INDEX(C10:E10,M3)/12</f>
        <v>0.015824968885871763</v>
      </c>
      <c r="N10" s="58">
        <f>INDEX(C10:E10,N3)/12</f>
        <v>0.015824968885871763</v>
      </c>
      <c r="O10" s="58">
        <f>INDEX(C10:E10,O3)/12</f>
        <v>0.015824968885871763</v>
      </c>
      <c r="P10" s="58">
        <f>INDEX(C10:E10,P3)/12</f>
        <v>0.015824968885871763</v>
      </c>
      <c r="Q10" s="58">
        <f>INDEX(C10:E10,Q3)/12</f>
        <v>0.015824968885871763</v>
      </c>
      <c r="R10" s="58">
        <f>INDEX(C10:E10,R3)/12</f>
        <v>0.015824968885871763</v>
      </c>
      <c r="S10" s="58">
        <f>INDEX(C10:E10,S3)/12</f>
        <v>0.015824968885871763</v>
      </c>
      <c r="T10" s="58">
        <f>INDEX(C10:E10,T3)/12</f>
        <v>0.015824968885871763</v>
      </c>
      <c r="U10" s="58">
        <f>INDEX(C10:E10,U3)/12</f>
        <v>0.018078478728976315</v>
      </c>
      <c r="V10" s="58">
        <f>INDEX(C10:E10,V3)/12</f>
        <v>0.018078478728976315</v>
      </c>
      <c r="W10" s="58">
        <f>INDEX(C10:E10,W3)/12</f>
        <v>0.018078478728976315</v>
      </c>
      <c r="X10" s="58">
        <f>INDEX(C10:E10,X3)/12</f>
        <v>0.018078478728976315</v>
      </c>
      <c r="Y10" s="58">
        <f>INDEX(C10:E10,Y3)/12</f>
        <v>0.018078478728976315</v>
      </c>
      <c r="Z10" s="58">
        <f>INDEX(C10:E10,Z3)/12</f>
        <v>0.018078478728976315</v>
      </c>
      <c r="AA10" s="58">
        <f>INDEX(C10:E10,AA3)/12</f>
        <v>0.018078478728976315</v>
      </c>
      <c r="AB10" s="58">
        <f>INDEX(C10:E10,AB3)/12</f>
        <v>0.018078478728976315</v>
      </c>
      <c r="AC10" s="58">
        <f>INDEX(C10:E10,AC3)/12</f>
        <v>0.018078478728976315</v>
      </c>
      <c r="AD10" s="58">
        <f>INDEX(C10:E10,AD3)/12</f>
        <v>0.018078478728976315</v>
      </c>
      <c r="AE10" s="58">
        <f>INDEX(C10:E10,AE3)/12</f>
        <v>0.018078478728976315</v>
      </c>
      <c r="AF10" s="58">
        <f>INDEX(C10:E10,AF3)/12</f>
        <v>0.018078478728976315</v>
      </c>
      <c r="AG10" s="58">
        <f>INDEX(C10:E10,AG3)/12</f>
        <v>0.02091140906797831</v>
      </c>
      <c r="AH10" s="58">
        <f>INDEX(C10:E10,AH3)/12</f>
        <v>0.02091140906797831</v>
      </c>
      <c r="AI10" s="58">
        <f>INDEX(C10:E10,AI3)/12</f>
        <v>0.02091140906797831</v>
      </c>
      <c r="AJ10" s="58">
        <f>INDEX(C10:E10,AJ3)/12</f>
        <v>0.02091140906797831</v>
      </c>
      <c r="AK10" s="58">
        <f>INDEX(C10:E10,AK3)/12</f>
        <v>0.02091140906797831</v>
      </c>
      <c r="AL10" s="58">
        <f>INDEX(C10:E10,AL3)/12</f>
        <v>0.02091140906797831</v>
      </c>
      <c r="AM10" s="58">
        <f>INDEX(C10:E10,AM3)/12</f>
        <v>0.02091140906797831</v>
      </c>
      <c r="AN10" s="58">
        <f>INDEX(C10:E10,AN3)/12</f>
        <v>0.02091140906797831</v>
      </c>
      <c r="AO10" s="58">
        <f>INDEX(C10:E10,AO3)/12</f>
        <v>0.02091140906797831</v>
      </c>
      <c r="AP10" s="58">
        <f>INDEX(C10:E10,AP3)/12</f>
        <v>0.02091140906797831</v>
      </c>
      <c r="AQ10" s="58">
        <f>INDEX(C10:E10,AQ3)/12</f>
        <v>0.02091140906797831</v>
      </c>
      <c r="AR10" s="58">
        <f>INDEX(C10:E10,AR3)/12</f>
        <v>0.02091140906797831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 showGridLines="0" zoomScale="120"/>
  </sheetViews>
  <sheetFormatPr defaultRowHeight="15" outlineLevelRow="0" outlineLevelCol="0" x14ac:dyDescent="55"/>
  <cols>
    <col min="1" max="12" width="14" customWidth="1"/>
    <col min="20" max="20" width="9" hidden="1" customWidth="1"/>
    <col min="21" max="21" width="9" hidden="1" customWidth="1"/>
    <col min="22" max="22" width="9" hidden="1" customWidth="1"/>
    <col min="23" max="23" width="9" hidden="1" customWidth="1"/>
  </cols>
  <sheetData>
    <row r="1" spans="1:23" x14ac:dyDescent="0.25">
      <c r="A1" s="30" t="s">
        <v>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T1" t="s">
        <v>15</v>
      </c>
      <c r="U1" t="s">
        <v>16</v>
      </c>
      <c r="V1" t="s">
        <v>17</v>
      </c>
      <c r="W1" t="s">
        <v>18</v>
      </c>
    </row>
    <row r="2" spans="1:23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T2" t="s">
        <v>19</v>
      </c>
      <c r="U2">
        <f>'Compte de résultat'!C4</f>
        <v>543000</v>
      </c>
      <c r="V2">
        <f>'Compte de résultat'!D4</f>
        <v>792000</v>
      </c>
      <c r="W2">
        <f>'Compte de résultat'!E4</f>
        <v>1113000</v>
      </c>
    </row>
    <row r="3" spans="1:23" x14ac:dyDescent="0.25">
      <c r="A3" s="31" t="s">
        <v>20</v>
      </c>
      <c r="B3" s="31"/>
      <c r="C3" s="31"/>
      <c r="D3" s="31" t="s">
        <v>21</v>
      </c>
      <c r="E3" s="31"/>
      <c r="F3" s="31"/>
      <c r="G3" s="31" t="s">
        <v>22</v>
      </c>
      <c r="H3" s="31"/>
      <c r="I3" s="31"/>
      <c r="J3" s="31" t="s">
        <v>23</v>
      </c>
      <c r="K3" s="31"/>
      <c r="L3" s="31"/>
      <c r="T3" t="s">
        <v>24</v>
      </c>
      <c r="U3">
        <f>'Compte de résultat'!C5</f>
        <v>1497000</v>
      </c>
      <c r="V3">
        <f>'Compte de résultat'!D5</f>
        <v>1760850</v>
      </c>
      <c r="W3">
        <f>'Compte de résultat'!E5</f>
        <v>2031700</v>
      </c>
    </row>
    <row r="4" spans="1:12" x14ac:dyDescent="0.25">
      <c r="A4" s="32">
        <f>'Indicateurs'!C7</f>
        <v>2062300</v>
      </c>
      <c r="B4" s="32"/>
      <c r="C4" s="32"/>
      <c r="D4" s="32">
        <f>'Indicateurs'!C8</f>
        <v>391630</v>
      </c>
      <c r="E4" s="32"/>
      <c r="F4" s="32"/>
      <c r="G4" s="33">
        <f>'Indicateurs'!C10</f>
        <v>0.18989962663046114</v>
      </c>
      <c r="H4" s="33"/>
      <c r="I4" s="33"/>
      <c r="J4" s="32">
        <f>'Trésorerie'!T23</f>
        <v>449299</v>
      </c>
      <c r="K4" s="32"/>
      <c r="L4" s="32"/>
    </row>
    <row r="5" spans="1:23" x14ac:dyDescent="0.25">
      <c r="A5" s="32"/>
      <c r="B5" s="32"/>
      <c r="C5" s="32"/>
      <c r="D5" s="32"/>
      <c r="E5" s="32"/>
      <c r="F5" s="32"/>
      <c r="G5" s="33"/>
      <c r="H5" s="33"/>
      <c r="I5" s="33"/>
      <c r="J5" s="32"/>
      <c r="K5" s="32"/>
      <c r="L5" s="32"/>
      <c r="T5" t="s">
        <v>15</v>
      </c>
      <c r="U5" t="s">
        <v>16</v>
      </c>
      <c r="V5" t="s">
        <v>17</v>
      </c>
      <c r="W5" t="s">
        <v>18</v>
      </c>
    </row>
    <row r="6" spans="1:23" x14ac:dyDescent="0.25">
      <c r="A6" s="32"/>
      <c r="B6" s="32"/>
      <c r="C6" s="32"/>
      <c r="D6" s="32"/>
      <c r="E6" s="32"/>
      <c r="F6" s="32"/>
      <c r="G6" s="33"/>
      <c r="H6" s="33"/>
      <c r="I6" s="33"/>
      <c r="J6" s="32"/>
      <c r="K6" s="32"/>
      <c r="L6" s="32"/>
      <c r="T6" t="s">
        <v>25</v>
      </c>
      <c r="U6">
        <f>'Compte de résultat'!C12</f>
        <v>391630</v>
      </c>
      <c r="V6">
        <f>'Compte de résultat'!D12</f>
        <v>559156.5</v>
      </c>
      <c r="W6">
        <f>'Compte de résultat'!E12</f>
        <v>795871.5</v>
      </c>
    </row>
    <row r="7" spans="1:12" x14ac:dyDescent="0.25">
      <c r="A7" s="32"/>
      <c r="B7" s="32"/>
      <c r="C7" s="32"/>
      <c r="D7" s="32"/>
      <c r="E7" s="32"/>
      <c r="F7" s="32"/>
      <c r="G7" s="33"/>
      <c r="H7" s="33"/>
      <c r="I7" s="33"/>
      <c r="J7" s="32"/>
      <c r="K7" s="32"/>
      <c r="L7" s="32"/>
    </row>
    <row r="8" spans="1:23" x14ac:dyDescent="0.25">
      <c r="A8" s="32"/>
      <c r="B8" s="32"/>
      <c r="C8" s="32"/>
      <c r="D8" s="32"/>
      <c r="E8" s="32"/>
      <c r="F8" s="32"/>
      <c r="G8" s="33"/>
      <c r="H8" s="33"/>
      <c r="I8" s="33"/>
      <c r="J8" s="32"/>
      <c r="K8" s="32"/>
      <c r="L8" s="32"/>
      <c r="T8" t="s">
        <v>15</v>
      </c>
      <c r="U8" t="s">
        <v>16</v>
      </c>
      <c r="V8" t="s">
        <v>17</v>
      </c>
      <c r="W8" t="s">
        <v>18</v>
      </c>
    </row>
    <row r="9" spans="1:23" x14ac:dyDescent="0.25">
      <c r="A9" s="32"/>
      <c r="B9" s="32"/>
      <c r="C9" s="32"/>
      <c r="D9" s="32"/>
      <c r="E9" s="32"/>
      <c r="F9" s="32"/>
      <c r="G9" s="33"/>
      <c r="H9" s="33"/>
      <c r="I9" s="33"/>
      <c r="J9" s="32"/>
      <c r="K9" s="32"/>
      <c r="L9" s="32"/>
      <c r="T9" t="s">
        <v>26</v>
      </c>
      <c r="U9">
        <f>'Trésorerie'!C23</f>
        <v>449299</v>
      </c>
      <c r="V9">
        <f>'Trésorerie'!D23</f>
        <v>806279.5</v>
      </c>
      <c r="W9">
        <f>'Trésorerie'!E23</f>
        <v>1350763</v>
      </c>
    </row>
    <row r="10" spans="1:12" x14ac:dyDescent="0.25">
      <c r="A10" s="34" t="s">
        <v>16</v>
      </c>
      <c r="B10" s="34"/>
      <c r="C10" s="34"/>
      <c r="D10" s="34" t="s">
        <v>16</v>
      </c>
      <c r="E10" s="34"/>
      <c r="F10" s="34"/>
      <c r="G10" s="34" t="s">
        <v>16</v>
      </c>
      <c r="H10" s="34"/>
      <c r="I10" s="34"/>
      <c r="J10" s="34" t="s">
        <v>27</v>
      </c>
      <c r="K10" s="34"/>
      <c r="L10" s="34"/>
    </row>
    <row r="11" spans="1:12" x14ac:dyDescent="0.25">
      <c r="A11" s="35"/>
      <c r="B11" s="36"/>
      <c r="C11" s="36"/>
      <c r="D11" s="36"/>
      <c r="E11" s="36"/>
      <c r="F11" s="36"/>
      <c r="G11" s="37"/>
      <c r="H11" s="35"/>
      <c r="I11" s="36"/>
      <c r="J11" s="36"/>
      <c r="K11" s="36"/>
      <c r="L11" s="37"/>
    </row>
    <row r="12" spans="1:12" x14ac:dyDescent="0.25">
      <c r="A12" s="38"/>
      <c r="G12" s="39"/>
      <c r="H12" s="38"/>
      <c r="L12" s="39"/>
    </row>
    <row r="13" spans="1:12" x14ac:dyDescent="0.25">
      <c r="A13" s="38"/>
      <c r="G13" s="39"/>
      <c r="H13" s="38"/>
      <c r="L13" s="39"/>
    </row>
    <row r="14" spans="1:12" x14ac:dyDescent="0.25">
      <c r="A14" s="38"/>
      <c r="G14" s="39"/>
      <c r="H14" s="38"/>
      <c r="L14" s="39"/>
    </row>
    <row r="15" spans="1:12" x14ac:dyDescent="0.25">
      <c r="A15" s="38"/>
      <c r="G15" s="39"/>
      <c r="H15" s="38"/>
      <c r="L15" s="39"/>
    </row>
    <row r="16" spans="1:12" x14ac:dyDescent="0.25">
      <c r="A16" s="38"/>
      <c r="G16" s="39"/>
      <c r="H16" s="38"/>
      <c r="L16" s="39"/>
    </row>
    <row r="17" spans="1:12" x14ac:dyDescent="0.25">
      <c r="A17" s="38"/>
      <c r="G17" s="39"/>
      <c r="H17" s="38"/>
      <c r="L17" s="39"/>
    </row>
    <row r="18" spans="1:12" x14ac:dyDescent="0.25">
      <c r="A18" s="38"/>
      <c r="G18" s="39"/>
      <c r="H18" s="38"/>
      <c r="L18" s="39"/>
    </row>
    <row r="19" spans="1:12" x14ac:dyDescent="0.25">
      <c r="A19" s="38"/>
      <c r="G19" s="39"/>
      <c r="H19" s="38"/>
      <c r="L19" s="39"/>
    </row>
    <row r="20" spans="1:12" x14ac:dyDescent="0.25">
      <c r="A20" s="38"/>
      <c r="G20" s="39"/>
      <c r="H20" s="38"/>
      <c r="L20" s="39"/>
    </row>
    <row r="21" spans="1:12" x14ac:dyDescent="0.25">
      <c r="A21" s="38"/>
      <c r="G21" s="39"/>
      <c r="H21" s="38"/>
      <c r="L21" s="39"/>
    </row>
    <row r="22" spans="1:12" x14ac:dyDescent="0.25">
      <c r="A22" s="38"/>
      <c r="G22" s="39"/>
      <c r="H22" s="38"/>
      <c r="L22" s="39"/>
    </row>
    <row r="23" spans="1:12" x14ac:dyDescent="0.25">
      <c r="A23" s="38"/>
      <c r="G23" s="39"/>
      <c r="H23" s="38"/>
      <c r="L23" s="39"/>
    </row>
    <row r="24" spans="1:12" x14ac:dyDescent="0.25">
      <c r="A24" s="38"/>
      <c r="G24" s="39"/>
      <c r="H24" s="38"/>
      <c r="L24" s="39"/>
    </row>
    <row r="25" spans="1:12" x14ac:dyDescent="0.25">
      <c r="A25" s="38"/>
      <c r="G25" s="39"/>
      <c r="H25" s="38"/>
      <c r="L25" s="39"/>
    </row>
    <row r="26" spans="1:12" x14ac:dyDescent="0.25">
      <c r="A26" s="40"/>
      <c r="B26" s="41"/>
      <c r="C26" s="41"/>
      <c r="D26" s="41"/>
      <c r="E26" s="41"/>
      <c r="F26" s="41"/>
      <c r="G26" s="42"/>
      <c r="H26" s="40"/>
      <c r="I26" s="41"/>
      <c r="J26" s="41"/>
      <c r="K26" s="41"/>
      <c r="L26" s="42"/>
    </row>
    <row r="27" spans="1:12" x14ac:dyDescent="0.25">
      <c r="A27" s="35"/>
      <c r="B27" s="36"/>
      <c r="C27" s="36"/>
      <c r="D27" s="36"/>
      <c r="E27" s="36"/>
      <c r="F27" s="36"/>
      <c r="G27" s="37"/>
      <c r="H27" s="43" t="s">
        <v>28</v>
      </c>
      <c r="I27" s="44" t="s">
        <v>16</v>
      </c>
      <c r="J27" s="44" t="s">
        <v>17</v>
      </c>
      <c r="K27" s="44" t="s">
        <v>18</v>
      </c>
      <c r="L27" s="45" t="s">
        <v>29</v>
      </c>
    </row>
    <row r="28" spans="1:12" x14ac:dyDescent="0.25">
      <c r="A28" s="38"/>
      <c r="G28" s="39"/>
      <c r="H28" s="46" t="s">
        <v>30</v>
      </c>
      <c r="I28" s="47">
        <f>'Indicateurs'!C7</f>
        <v>2062300</v>
      </c>
      <c r="J28" s="47">
        <f>'Indicateurs'!D7</f>
        <v>2577450</v>
      </c>
      <c r="K28" s="47">
        <f>'Indicateurs'!E7</f>
        <v>3171600</v>
      </c>
      <c r="L28" s="48">
        <v>0.24011877806813686</v>
      </c>
    </row>
    <row r="29" spans="1:12" x14ac:dyDescent="0.25">
      <c r="A29" s="38"/>
      <c r="G29" s="39"/>
      <c r="H29" s="46" t="s">
        <v>31</v>
      </c>
      <c r="I29" s="47">
        <f>'Indicateurs'!C8</f>
        <v>391630</v>
      </c>
      <c r="J29" s="47">
        <f>'Indicateurs'!D8</f>
        <v>559156.5</v>
      </c>
      <c r="K29" s="47">
        <f>'Indicateurs'!E8</f>
        <v>795871.5</v>
      </c>
      <c r="L29" s="48">
        <v>0.42555343259330747</v>
      </c>
    </row>
    <row r="30" spans="1:12" x14ac:dyDescent="0.25">
      <c r="A30" s="38"/>
      <c r="G30" s="39"/>
      <c r="H30" s="46" t="s">
        <v>32</v>
      </c>
      <c r="I30" s="49">
        <f>'Indicateurs'!C10</f>
        <v>0.18989962663046114</v>
      </c>
      <c r="J30" s="49">
        <f>'Indicateurs'!D10</f>
        <v>0.21694174474771577</v>
      </c>
      <c r="K30" s="49">
        <f>'Indicateurs'!E10</f>
        <v>0.2509369088157397</v>
      </c>
      <c r="L30" s="48">
        <v>0.1495297529596653</v>
      </c>
    </row>
    <row r="31" spans="1:12" x14ac:dyDescent="0.25">
      <c r="A31" s="38"/>
      <c r="G31" s="39"/>
      <c r="H31" s="46" t="s">
        <v>33</v>
      </c>
      <c r="I31" s="47">
        <f>'Indicateurs'!C9</f>
        <v>262078.75</v>
      </c>
      <c r="J31" s="47">
        <f>'Indicateurs'!D9</f>
        <v>384536.25</v>
      </c>
      <c r="K31" s="47">
        <f>'Indicateurs'!E9</f>
        <v>561246.75</v>
      </c>
      <c r="L31" s="48">
        <v>0.46339314130972586</v>
      </c>
    </row>
    <row r="32" spans="1:12" x14ac:dyDescent="0.25">
      <c r="A32" s="38"/>
      <c r="G32" s="39"/>
      <c r="H32" s="38"/>
      <c r="L32" s="39"/>
    </row>
    <row r="33" spans="1:12" x14ac:dyDescent="0.25">
      <c r="A33" s="38"/>
      <c r="G33" s="39"/>
      <c r="H33" s="38"/>
      <c r="L33" s="39"/>
    </row>
    <row r="34" spans="1:12" x14ac:dyDescent="0.25">
      <c r="A34" s="38"/>
      <c r="G34" s="39"/>
      <c r="H34" s="38"/>
      <c r="L34" s="39"/>
    </row>
    <row r="35" spans="1:12" x14ac:dyDescent="0.25">
      <c r="A35" s="38"/>
      <c r="G35" s="39"/>
      <c r="H35" s="38"/>
      <c r="L35" s="39"/>
    </row>
    <row r="36" spans="1:12" x14ac:dyDescent="0.25">
      <c r="A36" s="38"/>
      <c r="G36" s="39"/>
      <c r="H36" s="38"/>
      <c r="L36" s="39"/>
    </row>
    <row r="37" spans="1:12" x14ac:dyDescent="0.25">
      <c r="A37" s="38"/>
      <c r="G37" s="39"/>
      <c r="H37" s="38"/>
      <c r="L37" s="39"/>
    </row>
    <row r="38" spans="1:12" x14ac:dyDescent="0.25">
      <c r="A38" s="38"/>
      <c r="G38" s="39"/>
      <c r="H38" s="38"/>
      <c r="L38" s="39"/>
    </row>
    <row r="39" spans="1:12" x14ac:dyDescent="0.25">
      <c r="A39" s="38"/>
      <c r="G39" s="39"/>
      <c r="H39" s="38"/>
      <c r="L39" s="39"/>
    </row>
    <row r="40" spans="1:12" x14ac:dyDescent="0.25">
      <c r="A40" s="38"/>
      <c r="G40" s="39"/>
      <c r="H40" s="38"/>
      <c r="L40" s="39"/>
    </row>
    <row r="41" spans="1:12" x14ac:dyDescent="0.25">
      <c r="A41" s="38"/>
      <c r="G41" s="39"/>
      <c r="H41" s="38"/>
      <c r="L41" s="39"/>
    </row>
    <row r="42" spans="1:12" x14ac:dyDescent="0.25">
      <c r="A42" s="40"/>
      <c r="B42" s="41"/>
      <c r="C42" s="41"/>
      <c r="D42" s="41"/>
      <c r="E42" s="41"/>
      <c r="F42" s="41"/>
      <c r="G42" s="42"/>
      <c r="H42" s="40"/>
      <c r="I42" s="41"/>
      <c r="J42" s="41"/>
      <c r="K42" s="41"/>
      <c r="L42" s="42"/>
    </row>
  </sheetData>
  <mergeCells count="13">
    <mergeCell ref="A1:L2"/>
    <mergeCell ref="A3:C3"/>
    <mergeCell ref="D3:F3"/>
    <mergeCell ref="G3:I3"/>
    <mergeCell ref="J3:L3"/>
    <mergeCell ref="A4:C9"/>
    <mergeCell ref="D4:F9"/>
    <mergeCell ref="G4:I9"/>
    <mergeCell ref="J4:L9"/>
    <mergeCell ref="A10:C10"/>
    <mergeCell ref="D10:F10"/>
    <mergeCell ref="G10:I10"/>
    <mergeCell ref="J10:L10"/>
  </mergeCells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Intro</vt:lpstr>
      <vt:lpstr>Pilotage</vt:lpstr>
      <vt:lpstr>Hypothèses</vt:lpstr>
      <vt:lpstr>Compte de résultat</vt:lpstr>
      <vt:lpstr>Trésorerie</vt:lpstr>
      <vt:lpstr>Indicateurs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2026-09-09T11:07:11Z</dcterms:created>
  <dcterms:modified xsi:type="dcterms:W3CDTF">2026-09-09T11:07:11Z</dcterms:modified>
</cp:coreProperties>
</file>